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8400" yWindow="-15" windowWidth="8460" windowHeight="8700" activeTab="2"/>
  </bookViews>
  <sheets>
    <sheet name="Climber Records" sheetId="2" r:id="rId1"/>
    <sheet name="Problem Values" sheetId="1" r:id="rId2"/>
    <sheet name="Comp Results" sheetId="3" r:id="rId3"/>
  </sheets>
  <definedNames>
    <definedName name="_xlnm._FilterDatabase" localSheetId="0" hidden="1">'Climber Records'!$D$3:$D$100</definedName>
    <definedName name="DU">'Problem Values'!$N$3</definedName>
    <definedName name="F">'Problem Values'!$J$2</definedName>
    <definedName name="M">'Problem Values'!$J$13</definedName>
    <definedName name="MA">'Problem Values'!$I$5</definedName>
    <definedName name="MAP">'Problem Values'!$J$5</definedName>
    <definedName name="MB">'Problem Values'!$I$7</definedName>
    <definedName name="MBP">'Problem Values'!$J$7</definedName>
    <definedName name="MI">'Problem Values'!$I$6</definedName>
    <definedName name="MIP">'Problem Values'!$J$6</definedName>
    <definedName name="PU">'Problem Values'!$N$7</definedName>
    <definedName name="TU">'Problem Values'!$N$6</definedName>
    <definedName name="UDEL">'Problem Values'!$N$5</definedName>
    <definedName name="UPENN">'Problem Values'!$N$11</definedName>
    <definedName name="VU">'Problem Values'!$N$9</definedName>
    <definedName name="W">'Problem Values'!$J$14</definedName>
    <definedName name="WA">'Problem Values'!$I$8</definedName>
    <definedName name="WAP">'Problem Values'!$J$8</definedName>
    <definedName name="WB">'Problem Values'!$I$10</definedName>
    <definedName name="WBP">'Problem Values'!$J$10</definedName>
    <definedName name="WCU">'Problem Values'!$N$8</definedName>
    <definedName name="WI">'Problem Values'!$I$9</definedName>
    <definedName name="WIP">'Problem Values'!$J$9</definedName>
    <definedName name="ZA">'Problem Values'!$C$3</definedName>
    <definedName name="ZAA">'Problem Values'!$F$3</definedName>
    <definedName name="ZB">'Problem Values'!$C$4</definedName>
    <definedName name="ZBB">'Problem Values'!$F$4</definedName>
    <definedName name="ZC">'Problem Values'!$C$5</definedName>
    <definedName name="ZCC">'Problem Values'!$F$5</definedName>
    <definedName name="ZD">'Problem Values'!$C$6</definedName>
    <definedName name="ZDD">'Problem Values'!$F$6</definedName>
    <definedName name="ZE">'Problem Values'!$C$7</definedName>
    <definedName name="ZEE">'Problem Values'!$F$7</definedName>
    <definedName name="ZF">'Problem Values'!$C$8</definedName>
    <definedName name="ZFF">'Problem Values'!$F$8</definedName>
    <definedName name="ZG">'Problem Values'!$C$9</definedName>
    <definedName name="ZGG">'Problem Values'!$F$9</definedName>
    <definedName name="ZH">'Problem Values'!$C$10</definedName>
    <definedName name="ZHH">'Problem Values'!$F$10</definedName>
    <definedName name="ZI">'Problem Values'!$C$11</definedName>
    <definedName name="ZII">'Problem Values'!$F$11</definedName>
    <definedName name="ZJ">'Problem Values'!$C$12</definedName>
    <definedName name="ZJJ">'Problem Values'!$F$12</definedName>
    <definedName name="ZK">'Problem Values'!$C$13</definedName>
    <definedName name="ZKK">'Problem Values'!$F$13</definedName>
    <definedName name="ZL">'Problem Values'!$C$14</definedName>
    <definedName name="ZLL">'Problem Values'!$F$14</definedName>
    <definedName name="ZM">'Problem Values'!$C$15</definedName>
    <definedName name="ZMM">'Problem Values'!$F$15</definedName>
    <definedName name="ZN">'Problem Values'!$C$16</definedName>
    <definedName name="ZNN">'Problem Values'!$F$16</definedName>
    <definedName name="ZO">'Problem Values'!$C$17</definedName>
    <definedName name="ZOO">'Problem Values'!$F$17</definedName>
    <definedName name="ZP">'Problem Values'!$C$18</definedName>
    <definedName name="ZPP">'Problem Values'!$F$18</definedName>
    <definedName name="ZQ">'Problem Values'!$C$19</definedName>
    <definedName name="ZQQ">'Problem Values'!$F$19</definedName>
    <definedName name="ZR">'Problem Values'!$C$20</definedName>
    <definedName name="ZRR">'Problem Values'!$F$20</definedName>
    <definedName name="ZS">'Problem Values'!$C$21</definedName>
    <definedName name="ZSS">'Problem Values'!$F$21</definedName>
    <definedName name="ZT">'Problem Values'!$C$22</definedName>
    <definedName name="ZTT">'Problem Values'!$F$22</definedName>
    <definedName name="ZU">'Problem Values'!$C$23</definedName>
    <definedName name="ZUU">'Problem Values'!$F$23</definedName>
    <definedName name="ZV">'Problem Values'!$C$24</definedName>
    <definedName name="ZVV">'Problem Values'!$F$24</definedName>
    <definedName name="ZW">'Problem Values'!$C$25</definedName>
    <definedName name="ZWW">'Problem Values'!$F$25</definedName>
    <definedName name="ZX">'Problem Values'!$C$26</definedName>
    <definedName name="ZXX">'Problem Values'!$F$26</definedName>
    <definedName name="ZY">'Problem Values'!$C$27</definedName>
    <definedName name="ZYY">'Problem Values'!$F$27</definedName>
    <definedName name="ZZ">'Problem Values'!$C$28</definedName>
    <definedName name="ZZZ">'Problem Values'!$F$28</definedName>
  </definedNames>
  <calcPr calcId="125725"/>
  <pivotCaches>
    <pivotCache cacheId="0" r:id="rId4"/>
  </pivotCaches>
</workbook>
</file>

<file path=xl/calcChain.xml><?xml version="1.0" encoding="utf-8"?>
<calcChain xmlns="http://schemas.openxmlformats.org/spreadsheetml/2006/main">
  <c r="M21" i="3"/>
  <c r="L21"/>
  <c r="J20"/>
  <c r="J21"/>
  <c r="M19"/>
  <c r="L19"/>
  <c r="J19"/>
  <c r="M24"/>
  <c r="L23"/>
  <c r="J23"/>
  <c r="J22"/>
  <c r="L24"/>
  <c r="J24"/>
  <c r="M26" i="2"/>
  <c r="L26"/>
  <c r="K26"/>
  <c r="J26"/>
  <c r="I26"/>
  <c r="L36"/>
  <c r="K36"/>
  <c r="I36"/>
  <c r="O25"/>
  <c r="M44"/>
  <c r="L44"/>
  <c r="K44"/>
  <c r="J44"/>
  <c r="M63"/>
  <c r="L63"/>
  <c r="K63"/>
  <c r="J63"/>
  <c r="I63"/>
  <c r="J38"/>
  <c r="I38"/>
  <c r="R16"/>
  <c r="Q16"/>
  <c r="P16"/>
  <c r="O16"/>
  <c r="N16"/>
  <c r="N11"/>
  <c r="O72"/>
  <c r="N72"/>
  <c r="M72"/>
  <c r="L72"/>
  <c r="K72"/>
  <c r="J72"/>
  <c r="I72"/>
  <c r="M42"/>
  <c r="L42"/>
  <c r="K42"/>
  <c r="J42"/>
  <c r="I42"/>
  <c r="O49"/>
  <c r="N49"/>
  <c r="M49"/>
  <c r="L49"/>
  <c r="K49"/>
  <c r="J49"/>
  <c r="I49"/>
  <c r="O54"/>
  <c r="N54"/>
  <c r="M54"/>
  <c r="L54"/>
  <c r="K54"/>
  <c r="J54"/>
  <c r="I54"/>
  <c r="N32"/>
  <c r="M32"/>
  <c r="L32"/>
  <c r="K32"/>
  <c r="J32"/>
  <c r="I32"/>
  <c r="N70"/>
  <c r="M70"/>
  <c r="L70"/>
  <c r="M11"/>
  <c r="L11"/>
  <c r="K11"/>
  <c r="J11"/>
  <c r="I11"/>
  <c r="M16"/>
  <c r="L16"/>
  <c r="K16"/>
  <c r="J16"/>
  <c r="I16"/>
  <c r="M34"/>
  <c r="L34"/>
  <c r="K34"/>
  <c r="J34"/>
  <c r="I34"/>
  <c r="K70"/>
  <c r="J70"/>
  <c r="I70"/>
  <c r="N25" l="1"/>
  <c r="M25"/>
  <c r="J36"/>
  <c r="J56"/>
  <c r="I44"/>
  <c r="L25"/>
  <c r="J50"/>
  <c r="I68"/>
  <c r="K25"/>
  <c r="J25"/>
  <c r="I25"/>
  <c r="I56"/>
  <c r="I50"/>
  <c r="L18"/>
  <c r="K18"/>
  <c r="J18"/>
  <c r="I18"/>
  <c r="M21"/>
  <c r="L21"/>
  <c r="K21"/>
  <c r="J21"/>
  <c r="I21"/>
  <c r="K60"/>
  <c r="L59"/>
  <c r="K51"/>
  <c r="J51"/>
  <c r="M14"/>
  <c r="O39"/>
  <c r="N39"/>
  <c r="L39"/>
  <c r="K39"/>
  <c r="J39"/>
  <c r="I39"/>
  <c r="M55"/>
  <c r="M23"/>
  <c r="L23"/>
  <c r="K59"/>
  <c r="J59"/>
  <c r="I59"/>
  <c r="O40"/>
  <c r="M8"/>
  <c r="L20"/>
  <c r="K20"/>
  <c r="J20"/>
  <c r="I20"/>
  <c r="J31"/>
  <c r="I31"/>
  <c r="L55"/>
  <c r="N37"/>
  <c r="O46"/>
  <c r="N19"/>
  <c r="J53"/>
  <c r="M19"/>
  <c r="L19"/>
  <c r="K19"/>
  <c r="J19"/>
  <c r="I19"/>
  <c r="N46"/>
  <c r="J69"/>
  <c r="I69"/>
  <c r="M28"/>
  <c r="L28"/>
  <c r="K28"/>
  <c r="J28"/>
  <c r="I28"/>
  <c r="J12"/>
  <c r="I12"/>
  <c r="N40"/>
  <c r="L8"/>
  <c r="N13"/>
  <c r="M13"/>
  <c r="L14"/>
  <c r="K14"/>
  <c r="N64"/>
  <c r="K8"/>
  <c r="M46"/>
  <c r="L46"/>
  <c r="K55"/>
  <c r="M64"/>
  <c r="L64"/>
  <c r="K64"/>
  <c r="J64"/>
  <c r="I64"/>
  <c r="L13"/>
  <c r="K13"/>
  <c r="J60"/>
  <c r="I60"/>
  <c r="M40"/>
  <c r="J14"/>
  <c r="I14"/>
  <c r="J8"/>
  <c r="M37"/>
  <c r="L37"/>
  <c r="K37"/>
  <c r="L40"/>
  <c r="K47"/>
  <c r="J13"/>
  <c r="J55"/>
  <c r="I55"/>
  <c r="K40"/>
  <c r="K23"/>
  <c r="J23"/>
  <c r="I51"/>
  <c r="I8"/>
  <c r="K46"/>
  <c r="J46"/>
  <c r="J40"/>
  <c r="J47"/>
  <c r="I47"/>
  <c r="I46"/>
  <c r="I40"/>
  <c r="I53"/>
  <c r="J37"/>
  <c r="I37"/>
  <c r="I13"/>
  <c r="I23"/>
  <c r="P15"/>
  <c r="O15"/>
  <c r="N15"/>
  <c r="M15"/>
  <c r="L15"/>
  <c r="K15"/>
  <c r="J15"/>
  <c r="I15"/>
  <c r="M41"/>
  <c r="L41"/>
  <c r="K41"/>
  <c r="J41"/>
  <c r="I41"/>
  <c r="L45"/>
  <c r="P24"/>
  <c r="O17"/>
  <c r="O65"/>
  <c r="M57"/>
  <c r="M67"/>
  <c r="L66"/>
  <c r="N35"/>
  <c r="M35"/>
  <c r="L9"/>
  <c r="K9"/>
  <c r="J9"/>
  <c r="I9"/>
  <c r="K45"/>
  <c r="M6"/>
  <c r="N65"/>
  <c r="L67"/>
  <c r="M73"/>
  <c r="O10"/>
  <c r="M29"/>
  <c r="J45"/>
  <c r="O24"/>
  <c r="N4"/>
  <c r="M65"/>
  <c r="K66"/>
  <c r="P27"/>
  <c r="K67"/>
  <c r="N62"/>
  <c r="L6"/>
  <c r="L65"/>
  <c r="M58"/>
  <c r="N10"/>
  <c r="L29"/>
  <c r="N30"/>
  <c r="M33"/>
  <c r="L33"/>
  <c r="K33"/>
  <c r="J33"/>
  <c r="I33"/>
  <c r="K65"/>
  <c r="O27"/>
  <c r="N27"/>
  <c r="I45"/>
  <c r="M10"/>
  <c r="O43"/>
  <c r="O22"/>
  <c r="N22"/>
  <c r="J65"/>
  <c r="Q71"/>
  <c r="L58"/>
  <c r="L35"/>
  <c r="M4"/>
  <c r="J7"/>
  <c r="L57"/>
  <c r="N24"/>
  <c r="I52"/>
  <c r="M52"/>
  <c r="L73"/>
  <c r="P71"/>
  <c r="N17"/>
  <c r="K57"/>
  <c r="N5"/>
  <c r="I65"/>
  <c r="M48"/>
  <c r="K73"/>
  <c r="L10"/>
  <c r="O71"/>
  <c r="N43"/>
  <c r="M62"/>
  <c r="M27"/>
  <c r="M17"/>
  <c r="K58"/>
  <c r="J58"/>
  <c r="M5"/>
  <c r="N71"/>
  <c r="L62"/>
  <c r="M24"/>
  <c r="M43"/>
  <c r="M30"/>
  <c r="L27"/>
  <c r="L17"/>
  <c r="J73"/>
  <c r="I73"/>
  <c r="L4"/>
  <c r="K4"/>
  <c r="K29"/>
  <c r="L48"/>
  <c r="L30"/>
  <c r="L5"/>
  <c r="M22"/>
  <c r="L22"/>
  <c r="K22"/>
  <c r="J22"/>
  <c r="I22"/>
  <c r="M71"/>
  <c r="L43"/>
  <c r="L24"/>
  <c r="K30"/>
  <c r="K35"/>
  <c r="K6"/>
  <c r="J67"/>
  <c r="K27"/>
  <c r="K17"/>
  <c r="K43"/>
  <c r="J29"/>
  <c r="K48"/>
  <c r="K24"/>
  <c r="L52"/>
  <c r="K52"/>
  <c r="K5"/>
  <c r="J66"/>
  <c r="J57"/>
  <c r="J43"/>
  <c r="L71"/>
  <c r="I29"/>
  <c r="J24"/>
  <c r="J27"/>
  <c r="J17"/>
  <c r="I58"/>
  <c r="J52"/>
  <c r="I57"/>
  <c r="K62"/>
  <c r="K71"/>
  <c r="J35"/>
  <c r="I35"/>
  <c r="I7"/>
  <c r="J61"/>
  <c r="J4"/>
  <c r="K10"/>
  <c r="J5"/>
  <c r="J48"/>
  <c r="J30"/>
  <c r="J6"/>
  <c r="J71"/>
  <c r="I71"/>
  <c r="I27"/>
  <c r="I17"/>
  <c r="I61"/>
  <c r="J62"/>
  <c r="I62"/>
  <c r="I43"/>
  <c r="J10"/>
  <c r="I10"/>
  <c r="I4"/>
  <c r="I5"/>
  <c r="I48"/>
  <c r="I66"/>
  <c r="I24"/>
  <c r="I6"/>
  <c r="I67"/>
  <c r="I30"/>
  <c r="H7" l="1"/>
  <c r="F7" s="1"/>
  <c r="H9"/>
  <c r="F9" s="1"/>
  <c r="H57"/>
  <c r="F57" s="1"/>
  <c r="H33"/>
  <c r="F33" s="1"/>
  <c r="H29"/>
  <c r="F29" s="1"/>
  <c r="H4"/>
  <c r="F4" s="1"/>
  <c r="H65"/>
  <c r="F65" s="1"/>
  <c r="H59"/>
  <c r="F59" s="1"/>
  <c r="H51"/>
  <c r="F51" s="1"/>
  <c r="H21"/>
  <c r="F21" s="1"/>
  <c r="H54"/>
  <c r="F54" s="1"/>
  <c r="H28"/>
  <c r="F28" s="1"/>
  <c r="H55"/>
  <c r="F55" s="1"/>
  <c r="H69"/>
  <c r="F69" s="1"/>
  <c r="H14"/>
  <c r="F14" s="1"/>
  <c r="H46"/>
  <c r="F46" s="1"/>
  <c r="H40"/>
  <c r="F40" s="1"/>
  <c r="H19"/>
  <c r="F19" s="1"/>
  <c r="H86"/>
  <c r="H81"/>
  <c r="F81" s="1"/>
  <c r="H78"/>
  <c r="F78" s="1"/>
  <c r="H12"/>
  <c r="F12" s="1"/>
  <c r="H75"/>
  <c r="H23"/>
  <c r="F23" s="1"/>
  <c r="H79"/>
  <c r="F79" s="1"/>
  <c r="H16"/>
  <c r="F16" s="1"/>
  <c r="H36"/>
  <c r="F36" s="1"/>
  <c r="H50"/>
  <c r="F50" s="1"/>
  <c r="H25"/>
  <c r="F25" s="1"/>
  <c r="H11"/>
  <c r="F11" s="1"/>
  <c r="H56"/>
  <c r="F56" s="1"/>
  <c r="H32"/>
  <c r="F32" s="1"/>
  <c r="H42"/>
  <c r="F42" s="1"/>
  <c r="H38"/>
  <c r="F38" s="1"/>
  <c r="H26"/>
  <c r="F26" s="1"/>
  <c r="H88"/>
  <c r="H89"/>
  <c r="H90"/>
  <c r="H91"/>
  <c r="H92"/>
  <c r="H93"/>
  <c r="H94"/>
  <c r="H95"/>
  <c r="H96"/>
  <c r="H97"/>
  <c r="H98"/>
  <c r="H99"/>
  <c r="H100"/>
  <c r="F86"/>
  <c r="F75"/>
  <c r="F88"/>
  <c r="F89"/>
  <c r="F90"/>
  <c r="F91"/>
  <c r="F92"/>
  <c r="F93"/>
  <c r="F94"/>
  <c r="F95"/>
  <c r="F96"/>
  <c r="F97"/>
  <c r="F98"/>
  <c r="F99"/>
  <c r="F100"/>
  <c r="H73"/>
  <c r="F73" s="1"/>
  <c r="H84"/>
  <c r="F84" s="1"/>
  <c r="H35"/>
  <c r="F35" s="1"/>
  <c r="H30"/>
  <c r="F30" s="1"/>
  <c r="H22"/>
  <c r="F22" s="1"/>
  <c r="H45"/>
  <c r="F45" s="1"/>
  <c r="H52"/>
  <c r="F52" s="1"/>
  <c r="H82"/>
  <c r="F82" s="1"/>
  <c r="H77"/>
  <c r="F77" s="1"/>
  <c r="H76"/>
  <c r="F76" s="1"/>
  <c r="H61"/>
  <c r="F61" s="1"/>
  <c r="H48"/>
  <c r="F48" s="1"/>
  <c r="H58"/>
  <c r="F58" s="1"/>
  <c r="H5"/>
  <c r="F5" s="1"/>
  <c r="H66"/>
  <c r="F66" s="1"/>
  <c r="H67"/>
  <c r="F67" s="1"/>
  <c r="H6"/>
  <c r="F6" s="1"/>
  <c r="H13"/>
  <c r="F13" s="1"/>
  <c r="H68"/>
  <c r="F68" s="1"/>
  <c r="H53"/>
  <c r="F53" s="1"/>
  <c r="H47"/>
  <c r="F47" s="1"/>
  <c r="H37"/>
  <c r="F37" s="1"/>
  <c r="H20"/>
  <c r="F20" s="1"/>
  <c r="H39"/>
  <c r="F39" s="1"/>
  <c r="H8"/>
  <c r="F8" s="1"/>
  <c r="H44"/>
  <c r="F44" s="1"/>
  <c r="H31"/>
  <c r="F31" s="1"/>
  <c r="H60"/>
  <c r="F60" s="1"/>
  <c r="H72"/>
  <c r="F72" s="1"/>
  <c r="H83"/>
  <c r="F83" s="1"/>
  <c r="H74"/>
  <c r="H18"/>
  <c r="F18" s="1"/>
  <c r="H70"/>
  <c r="F70" s="1"/>
  <c r="H49"/>
  <c r="F49" s="1"/>
  <c r="H64"/>
  <c r="F64" s="1"/>
  <c r="H34"/>
  <c r="F34" s="1"/>
  <c r="H63"/>
  <c r="F63" s="1"/>
  <c r="H85"/>
  <c r="F85" s="1"/>
  <c r="H80"/>
  <c r="F80" s="1"/>
  <c r="H15"/>
  <c r="F15" s="1"/>
  <c r="H43"/>
  <c r="F43" s="1"/>
  <c r="H24"/>
  <c r="F24" s="1"/>
  <c r="H10"/>
  <c r="F10" s="1"/>
  <c r="H71"/>
  <c r="F71" s="1"/>
  <c r="H87"/>
  <c r="H41"/>
  <c r="F41" s="1"/>
  <c r="H17"/>
  <c r="F17" s="1"/>
  <c r="H27"/>
  <c r="F27" s="1"/>
  <c r="F74"/>
  <c r="F87"/>
  <c r="H62" l="1"/>
  <c r="G29" s="1"/>
  <c r="K2" i="1"/>
  <c r="F62" i="2" l="1"/>
  <c r="G83"/>
  <c r="G47"/>
  <c r="G68"/>
  <c r="G63"/>
  <c r="G39"/>
  <c r="G76"/>
  <c r="G55"/>
  <c r="G16"/>
  <c r="G57"/>
  <c r="G5"/>
  <c r="G41"/>
  <c r="G87"/>
  <c r="G77"/>
  <c r="G64"/>
  <c r="G8"/>
  <c r="G67"/>
  <c r="G14"/>
  <c r="G74"/>
  <c r="G45"/>
  <c r="G37"/>
  <c r="G85"/>
  <c r="G22"/>
  <c r="G72"/>
  <c r="G60"/>
  <c r="G84"/>
  <c r="G18"/>
  <c r="G34"/>
  <c r="G73"/>
  <c r="G31"/>
  <c r="G15"/>
  <c r="G6"/>
  <c r="G69"/>
  <c r="G100"/>
  <c r="G95"/>
  <c r="G23"/>
  <c r="G33"/>
  <c r="G9"/>
  <c r="G93"/>
  <c r="G48"/>
  <c r="G71"/>
  <c r="G10"/>
  <c r="G49"/>
  <c r="G43"/>
  <c r="G58"/>
  <c r="G30"/>
  <c r="G35"/>
  <c r="G44"/>
  <c r="G70"/>
  <c r="G53"/>
  <c r="G13"/>
  <c r="G82"/>
  <c r="G61"/>
  <c r="G24"/>
  <c r="G7"/>
  <c r="G17"/>
  <c r="G98"/>
  <c r="G97"/>
  <c r="G50"/>
  <c r="G54"/>
  <c r="G92"/>
  <c r="G91"/>
  <c r="G12"/>
  <c r="G89"/>
  <c r="G88"/>
  <c r="G26"/>
  <c r="G38"/>
  <c r="G79"/>
  <c r="G51"/>
  <c r="G62"/>
  <c r="G27"/>
  <c r="G56"/>
  <c r="G11"/>
  <c r="G75"/>
  <c r="G25"/>
  <c r="G20"/>
  <c r="G28"/>
  <c r="G96"/>
  <c r="G99"/>
  <c r="G36"/>
  <c r="G52"/>
  <c r="G21"/>
  <c r="G94"/>
  <c r="G80"/>
  <c r="G4"/>
  <c r="G90"/>
  <c r="G78"/>
  <c r="G46"/>
  <c r="G81"/>
  <c r="G66"/>
  <c r="G86"/>
  <c r="G59"/>
  <c r="G19"/>
  <c r="G65"/>
  <c r="G40"/>
  <c r="G42"/>
  <c r="G32"/>
</calcChain>
</file>

<file path=xl/comments1.xml><?xml version="1.0" encoding="utf-8"?>
<comments xmlns="http://schemas.openxmlformats.org/spreadsheetml/2006/main">
  <authors>
    <author>Tyler Devilbiss</author>
  </authors>
  <commentList>
    <comment ref="C45" authorId="0">
      <text>
        <r>
          <rPr>
            <b/>
            <sz val="12"/>
            <color indexed="81"/>
            <rFont val="Tahoma"/>
            <family val="2"/>
          </rPr>
          <t>Tyler Devilbiss:</t>
        </r>
        <r>
          <rPr>
            <sz val="12"/>
            <color indexed="81"/>
            <rFont val="Tahoma"/>
            <family val="2"/>
          </rPr>
          <t xml:space="preserve">
Insert  a capital M or W for gender.</t>
        </r>
      </text>
    </comment>
    <comment ref="C62" authorId="0">
      <text>
        <r>
          <rPr>
            <b/>
            <sz val="12"/>
            <color indexed="81"/>
            <rFont val="Tahoma"/>
            <family val="2"/>
          </rPr>
          <t>Tyler Devilbiss:</t>
        </r>
        <r>
          <rPr>
            <sz val="12"/>
            <color indexed="81"/>
            <rFont val="Tahoma"/>
            <family val="2"/>
          </rPr>
          <t xml:space="preserve">
Insert  a capital M or W for gender.</t>
        </r>
      </text>
    </comment>
    <comment ref="I62" authorId="0">
      <text>
        <r>
          <rPr>
            <b/>
            <sz val="12"/>
            <color indexed="81"/>
            <rFont val="Tahoma"/>
            <family val="2"/>
          </rPr>
          <t>Tyler Devilbiss:</t>
        </r>
        <r>
          <rPr>
            <sz val="12"/>
            <color indexed="81"/>
            <rFont val="Tahoma"/>
            <family val="2"/>
          </rPr>
          <t xml:space="preserve">
to enter score use =Z"climb code" (A, DD…) To add flash bonus use *F
EX: =ZA*F for flashed climb A</t>
        </r>
      </text>
    </comment>
    <comment ref="C84" authorId="0">
      <text>
        <r>
          <rPr>
            <b/>
            <sz val="12"/>
            <color indexed="81"/>
            <rFont val="Tahoma"/>
            <family val="2"/>
          </rPr>
          <t>Tyler Devilbiss:</t>
        </r>
        <r>
          <rPr>
            <sz val="12"/>
            <color indexed="81"/>
            <rFont val="Tahoma"/>
            <family val="2"/>
          </rPr>
          <t xml:space="preserve">
Insert  a capital M or W for gender.</t>
        </r>
      </text>
    </comment>
  </commentList>
</comments>
</file>

<file path=xl/comments2.xml><?xml version="1.0" encoding="utf-8"?>
<comments xmlns="http://schemas.openxmlformats.org/spreadsheetml/2006/main">
  <authors>
    <author>Tyler Devilbiss</author>
  </authors>
  <commentList>
    <comment ref="J5" authorId="0">
      <text>
        <r>
          <rPr>
            <b/>
            <sz val="9"/>
            <color indexed="81"/>
            <rFont val="Tahoma"/>
            <family val="2"/>
          </rPr>
          <t>Tyler Devilbiss:</t>
        </r>
        <r>
          <rPr>
            <sz val="9"/>
            <color indexed="81"/>
            <rFont val="Tahoma"/>
            <family val="2"/>
          </rPr>
          <t xml:space="preserve">
These values are the top 5 climbs points added together that are contained within the particular division.</t>
        </r>
      </text>
    </comment>
  </commentList>
</comments>
</file>

<file path=xl/sharedStrings.xml><?xml version="1.0" encoding="utf-8"?>
<sst xmlns="http://schemas.openxmlformats.org/spreadsheetml/2006/main" count="580" uniqueCount="209">
  <si>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</si>
  <si>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</si>
  <si>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</si>
  <si>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</si>
  <si>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</si>
  <si>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</si>
  <si>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</si>
  <si>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</si>
  <si>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</si>
  <si>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</si>
  <si>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</si>
  <si>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</si>
  <si>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</si>
  <si>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</si>
  <si>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</si>
  <si>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</si>
  <si>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</si>
  <si>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</si>
  <si>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</si>
  <si>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</si>
  <si>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</si>
  <si>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</si>
  <si>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</si>
  <si>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</si>
  <si>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</si>
  <si>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</si>
  <si>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</si>
  <si>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BB</t>
  </si>
  <si>
    <t>CC</t>
  </si>
  <si>
    <t>DD</t>
  </si>
  <si>
    <t>EE</t>
  </si>
  <si>
    <t>FF</t>
  </si>
  <si>
    <t>GG</t>
  </si>
  <si>
    <t>HH</t>
  </si>
  <si>
    <t>II</t>
  </si>
  <si>
    <t>JJ</t>
  </si>
  <si>
    <t>KK</t>
  </si>
  <si>
    <t>LL</t>
  </si>
  <si>
    <t>MM</t>
  </si>
  <si>
    <t>NN</t>
  </si>
  <si>
    <t>OO</t>
  </si>
  <si>
    <t>PP</t>
  </si>
  <si>
    <t>QQ</t>
  </si>
  <si>
    <t>RR</t>
  </si>
  <si>
    <t>SS</t>
  </si>
  <si>
    <t>TT</t>
  </si>
  <si>
    <t>UU</t>
  </si>
  <si>
    <t>VV</t>
  </si>
  <si>
    <t>WW</t>
  </si>
  <si>
    <t>XX</t>
  </si>
  <si>
    <t>YY</t>
  </si>
  <si>
    <t>ZZ</t>
  </si>
  <si>
    <t>School</t>
  </si>
  <si>
    <t>Climber Name</t>
  </si>
  <si>
    <t>Score Total</t>
  </si>
  <si>
    <t>PCCS Official Score Sheet</t>
  </si>
  <si>
    <t>Climb Label</t>
  </si>
  <si>
    <t>Point Value</t>
  </si>
  <si>
    <t>Grade</t>
  </si>
  <si>
    <t>Flash value, F</t>
  </si>
  <si>
    <t>Schools</t>
  </si>
  <si>
    <t>WCU</t>
  </si>
  <si>
    <t>Drexel University</t>
  </si>
  <si>
    <t>University of Pennsylvania</t>
  </si>
  <si>
    <t>University of Deleware</t>
  </si>
  <si>
    <t>Temple University</t>
  </si>
  <si>
    <t>Princeton University</t>
  </si>
  <si>
    <t>West Chester University</t>
  </si>
  <si>
    <t>Code</t>
  </si>
  <si>
    <t>Villanova University</t>
  </si>
  <si>
    <t>DU</t>
  </si>
  <si>
    <t>TU</t>
  </si>
  <si>
    <t>PU</t>
  </si>
  <si>
    <t>VU</t>
  </si>
  <si>
    <t>Division</t>
  </si>
  <si>
    <t>Divisions</t>
  </si>
  <si>
    <t>MA</t>
  </si>
  <si>
    <t>MI</t>
  </si>
  <si>
    <t>MB</t>
  </si>
  <si>
    <t>WA</t>
  </si>
  <si>
    <t>WI</t>
  </si>
  <si>
    <t>WB</t>
  </si>
  <si>
    <t>Max Points</t>
  </si>
  <si>
    <t>UPENN</t>
  </si>
  <si>
    <t>Gender Codes</t>
  </si>
  <si>
    <t>Male</t>
  </si>
  <si>
    <t>Female</t>
  </si>
  <si>
    <t>Enter Climbs From Here Over ---&gt;</t>
  </si>
  <si>
    <t>Overall Ranking</t>
  </si>
  <si>
    <t>UDEL</t>
  </si>
  <si>
    <t>Gender, M/W</t>
  </si>
  <si>
    <t>Row Labels</t>
  </si>
  <si>
    <t>FALSE</t>
  </si>
  <si>
    <t>Paid</t>
  </si>
  <si>
    <t>Sum of Score Total</t>
  </si>
  <si>
    <t>(blank)</t>
  </si>
  <si>
    <t>(All)</t>
  </si>
  <si>
    <t xml:space="preserve">Deleware Technical </t>
  </si>
  <si>
    <t>DELTECH</t>
  </si>
  <si>
    <t>V0-V2</t>
  </si>
  <si>
    <t>V3-V4</t>
  </si>
  <si>
    <t>V5+</t>
  </si>
  <si>
    <t>V0-V3</t>
  </si>
  <si>
    <t>V4-V5</t>
  </si>
  <si>
    <t>V6+</t>
  </si>
  <si>
    <t>V0</t>
  </si>
  <si>
    <t>V1</t>
  </si>
  <si>
    <t>V2</t>
  </si>
  <si>
    <t>V3</t>
  </si>
  <si>
    <t>V4</t>
  </si>
  <si>
    <t>V5</t>
  </si>
  <si>
    <t>V6</t>
  </si>
  <si>
    <t>V8</t>
  </si>
  <si>
    <t>V7</t>
  </si>
  <si>
    <t>Sammie Warner</t>
  </si>
  <si>
    <t>Jacob Tannahill</t>
  </si>
  <si>
    <t>Ian Proud</t>
  </si>
  <si>
    <t>David Thorne</t>
  </si>
  <si>
    <t>Magda Papaionnou</t>
  </si>
  <si>
    <t>Mike Sangrillo</t>
  </si>
  <si>
    <t>Sam Marder</t>
  </si>
  <si>
    <t>Matt Miller</t>
  </si>
  <si>
    <t>Adam Ferreira</t>
  </si>
  <si>
    <t>Stephanie Kerrigan</t>
  </si>
  <si>
    <t>Stephanie Manasse</t>
  </si>
  <si>
    <t>Adrienne Juarascio</t>
  </si>
  <si>
    <t>Caitlin Youngster</t>
  </si>
  <si>
    <t>Taylor Clark</t>
  </si>
  <si>
    <t>Oliver Robins</t>
  </si>
  <si>
    <t>Matt Bui</t>
  </si>
  <si>
    <t>Jeremy Vital</t>
  </si>
  <si>
    <t>David Kassie</t>
  </si>
  <si>
    <t>Karen Yee</t>
  </si>
  <si>
    <t>Andrea Love</t>
  </si>
  <si>
    <t>Liz Long</t>
  </si>
  <si>
    <t>Ian Riley</t>
  </si>
  <si>
    <t>Ryan Rue</t>
  </si>
  <si>
    <t>Zach Robbins</t>
  </si>
  <si>
    <t>Dan Harryman</t>
  </si>
  <si>
    <t>Tyler Devilbiss</t>
  </si>
  <si>
    <t>Michael Cunningham</t>
  </si>
  <si>
    <t>Scott Jeffers</t>
  </si>
  <si>
    <t>Jack Wilke</t>
  </si>
  <si>
    <t>Sarah Jahara</t>
  </si>
  <si>
    <t>Chris Dailey</t>
  </si>
  <si>
    <t>Yes</t>
  </si>
  <si>
    <t>Leonard Knittel</t>
  </si>
  <si>
    <t>Club</t>
  </si>
  <si>
    <t>Dylan Vital</t>
  </si>
  <si>
    <t>Desk</t>
  </si>
  <si>
    <t>BoDean Messier</t>
  </si>
  <si>
    <t>Will Hancock-Cerutti</t>
  </si>
  <si>
    <t>yes</t>
  </si>
  <si>
    <t>Khang Nghe</t>
  </si>
  <si>
    <t>Christine Bonney</t>
  </si>
  <si>
    <t>Garrett Goon</t>
  </si>
  <si>
    <t>Alex Ratel</t>
  </si>
  <si>
    <t>Ben Grossmann</t>
  </si>
  <si>
    <t>Jack Higgins</t>
  </si>
  <si>
    <t>AARON Jones</t>
  </si>
  <si>
    <t>Rob Walls</t>
  </si>
  <si>
    <t>Grace Kim</t>
  </si>
  <si>
    <t>Sean O'Connor</t>
  </si>
  <si>
    <t>Ross Askanazi</t>
  </si>
  <si>
    <t>Mike DiStanephano</t>
  </si>
  <si>
    <t>Zip Austin Alexander</t>
  </si>
  <si>
    <t>Ravi Chohan</t>
  </si>
  <si>
    <t>David Spain</t>
  </si>
  <si>
    <t>Pedram Niknan</t>
  </si>
  <si>
    <t>Grace Icenogle</t>
  </si>
  <si>
    <t>PENN</t>
  </si>
  <si>
    <t>Tim Misnik</t>
  </si>
  <si>
    <t>Chris Bryan</t>
  </si>
  <si>
    <t>Mason Dudeley</t>
  </si>
  <si>
    <t>Kerry Gamble</t>
  </si>
  <si>
    <t>Daniel Pouliot</t>
  </si>
  <si>
    <t>Brian Shultz</t>
  </si>
  <si>
    <t>Drew Frohn</t>
  </si>
  <si>
    <t>club</t>
  </si>
  <si>
    <t>Peter Chuour</t>
  </si>
  <si>
    <t>Chris Papa</t>
  </si>
  <si>
    <t>Alum</t>
  </si>
  <si>
    <t>Jeremy Taitanl</t>
  </si>
  <si>
    <t>Michael Wadsley</t>
  </si>
  <si>
    <t>Elissa Heim</t>
  </si>
  <si>
    <t>Brian Keil</t>
  </si>
  <si>
    <t>PHIL KHAISMAN</t>
  </si>
  <si>
    <t>YES</t>
  </si>
  <si>
    <t>CLUB</t>
  </si>
  <si>
    <t>Isaac Caruthers</t>
  </si>
  <si>
    <t>Kim Kuoch</t>
  </si>
  <si>
    <t>JOSHUA DORR</t>
  </si>
  <si>
    <t>ETHAN QUANCI</t>
  </si>
  <si>
    <t>WFU</t>
  </si>
  <si>
    <t>MU</t>
  </si>
  <si>
    <t>5th</t>
  </si>
  <si>
    <t>4th</t>
  </si>
  <si>
    <t>3rd</t>
  </si>
  <si>
    <t>2nd</t>
  </si>
  <si>
    <t>1st</t>
  </si>
  <si>
    <t>Women's</t>
  </si>
  <si>
    <t>Men's</t>
  </si>
  <si>
    <t>Advanced Finals</t>
  </si>
  <si>
    <t>Drexel</t>
  </si>
  <si>
    <t>Upenn</t>
  </si>
  <si>
    <t>Division Winner</t>
  </si>
  <si>
    <t>Millersville</t>
  </si>
  <si>
    <t>DREXEL</t>
  </si>
  <si>
    <t>TEMPLE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</si>
</sst>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36"/>
      <color theme="0"/>
      <name val="Berlin Sans FB Dem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</xf>
    <xf numFmtId="0" fontId="0" fillId="0" borderId="0" xfId="0" applyBorder="1" applyProtection="1"/>
    <xf numFmtId="0" fontId="0" fillId="0" borderId="0" xfId="0" applyProtection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3" fillId="0" borderId="0" xfId="0" applyFont="1" applyBorder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left" indent="1"/>
    </xf>
    <xf numFmtId="0" fontId="1" fillId="0" borderId="1" xfId="0" applyFont="1" applyBorder="1" applyProtection="1"/>
    <xf numFmtId="0" fontId="8" fillId="0" borderId="1" xfId="0" applyFont="1" applyBorder="1" applyProtection="1"/>
    <xf numFmtId="0" fontId="8" fillId="0" borderId="1" xfId="0" applyFont="1" applyBorder="1" applyAlignment="1" applyProtection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0" xfId="0" applyFont="1" applyBorder="1"/>
    <xf numFmtId="0" fontId="1" fillId="0" borderId="0" xfId="0" applyFont="1"/>
    <xf numFmtId="0" fontId="9" fillId="0" borderId="0" xfId="0" applyFont="1" applyBorder="1"/>
    <xf numFmtId="0" fontId="9" fillId="0" borderId="0" xfId="0" applyFont="1" applyBorder="1" applyAlignment="1"/>
    <xf numFmtId="0" fontId="1" fillId="0" borderId="0" xfId="0" applyFont="1" applyBorder="1" applyAlignment="1"/>
    <xf numFmtId="0" fontId="3" fillId="0" borderId="1" xfId="0" applyFont="1" applyBorder="1" applyAlignment="1">
      <alignment horizontal="center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1" fillId="0" borderId="0" xfId="0" applyFont="1" applyProtection="1">
      <protection locked="0"/>
    </xf>
    <xf numFmtId="0" fontId="1" fillId="0" borderId="2" xfId="0" applyFont="1" applyBorder="1" applyProtection="1">
      <protection locked="0"/>
    </xf>
    <xf numFmtId="0" fontId="3" fillId="0" borderId="0" xfId="0" applyFont="1" applyAlignment="1">
      <alignment horizontal="left" indent="1"/>
    </xf>
    <xf numFmtId="0" fontId="3" fillId="0" borderId="0" xfId="0" applyNumberFormat="1" applyFont="1"/>
    <xf numFmtId="1" fontId="0" fillId="0" borderId="1" xfId="0" applyNumberFormat="1" applyFill="1" applyBorder="1" applyProtection="1">
      <protection locked="0"/>
    </xf>
    <xf numFmtId="0" fontId="0" fillId="0" borderId="2" xfId="0" applyBorder="1"/>
    <xf numFmtId="0" fontId="0" fillId="0" borderId="2" xfId="0" applyFont="1" applyBorder="1" applyAlignment="1">
      <alignment horizontal="left" indent="1"/>
    </xf>
    <xf numFmtId="0" fontId="0" fillId="0" borderId="0" xfId="0" applyBorder="1" applyAlignment="1"/>
    <xf numFmtId="0" fontId="0" fillId="0" borderId="0" xfId="0" applyFont="1" applyBorder="1" applyAlignment="1"/>
    <xf numFmtId="0" fontId="0" fillId="0" borderId="1" xfId="0" applyBorder="1" applyAlignment="1"/>
    <xf numFmtId="0" fontId="0" fillId="0" borderId="1" xfId="0" applyFont="1" applyBorder="1" applyAlignment="1"/>
    <xf numFmtId="0" fontId="8" fillId="0" borderId="1" xfId="0" applyFont="1" applyBorder="1" applyAlignment="1" applyProtection="1">
      <alignment horizontal="left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4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12"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309562</xdr:colOff>
      <xdr:row>1</xdr:row>
      <xdr:rowOff>178593</xdr:rowOff>
    </xdr:from>
    <xdr:to>
      <xdr:col>7</xdr:col>
      <xdr:colOff>559594</xdr:colOff>
      <xdr:row>6</xdr:row>
      <xdr:rowOff>83344</xdr:rowOff>
    </xdr:to>
    <xdr:sp macro="" textlink="">
      <xdr:nvSpPr>
        <xdr:cNvPr id="2" name="TextBox 1"/>
        <xdr:cNvSpPr txBox="1"/>
      </xdr:nvSpPr>
      <xdr:spPr>
        <a:xfrm>
          <a:off x="3810000" y="440531"/>
          <a:ext cx="2952750" cy="12144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click</a:t>
          </a:r>
          <a:r>
            <a:rPr lang="en-US" sz="1100" baseline="0"/>
            <a:t> on the table to the left</a:t>
          </a:r>
        </a:p>
        <a:p>
          <a:endParaRPr lang="en-US" sz="1100" baseline="0"/>
        </a:p>
        <a:p>
          <a:r>
            <a:rPr lang="en-US" sz="1100" baseline="0"/>
            <a:t>select the options tab that appears at the top of the document</a:t>
          </a:r>
        </a:p>
        <a:p>
          <a:endParaRPr lang="en-US" sz="1100" baseline="0"/>
        </a:p>
        <a:p>
          <a:r>
            <a:rPr lang="en-US" sz="1100" baseline="0"/>
            <a:t>select refresh to access most recent results</a:t>
          </a:r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Tyler Devilbiss" refreshedDate="41686.559562962961" createdVersion="3" refreshedVersion="3" minRefreshableVersion="3" recordCount="97">
  <cacheSource type="worksheet">
    <worksheetSource ref="A3:H100" sheet="Climber Records"/>
  </cacheSource>
  <cacheFields count="7">
    <cacheField name="Paid" numFmtId="0">
      <sharedItems containsBlank="1" count="6">
        <s v="yes"/>
        <m/>
        <s v="Alum"/>
        <s v="club"/>
        <s v="Desk"/>
        <s v="NO" u="1"/>
      </sharedItems>
    </cacheField>
    <cacheField name="School" numFmtId="0">
      <sharedItems containsBlank="1" count="14">
        <s v="TU"/>
        <s v="DU"/>
        <s v="PENN"/>
        <s v="WFU"/>
        <s v="MU"/>
        <m/>
        <s v="Millersville" u="1"/>
        <s v="WCU" u="1"/>
        <s v="PU" u="1"/>
        <s v="U of Miami" u="1"/>
        <s v="Wake Forest" u="1"/>
        <s v="TE" u="1"/>
        <s v="Upenn" u="1"/>
        <s v="UDEL" u="1"/>
      </sharedItems>
    </cacheField>
    <cacheField name="Gender, M/W" numFmtId="0">
      <sharedItems containsBlank="1" count="4">
        <s v="M"/>
        <s v="W"/>
        <m/>
        <s v="F" u="1"/>
      </sharedItems>
    </cacheField>
    <cacheField name="Climber Name" numFmtId="0">
      <sharedItems containsBlank="1" count="104">
        <s v="AARON Jones"/>
        <s v="Adam Ferreira"/>
        <s v="Adrienne Juarascio"/>
        <s v="Alex Ratel"/>
        <s v="Andrea Love"/>
        <s v="Ben Grossmann"/>
        <s v="BoDean Messier"/>
        <s v="Brian Keil"/>
        <s v="Brian Shultz"/>
        <s v="Caitlin Youngster"/>
        <s v="Chris Bryan"/>
        <s v="Chris Dailey"/>
        <s v="Chris Papa"/>
        <s v="Christine Bonney"/>
        <s v="Dan Harryman"/>
        <s v="Daniel Pouliot"/>
        <s v="David Kassie"/>
        <s v="David Spain"/>
        <s v="David Thorne"/>
        <s v="Drew Frohn"/>
        <s v="Dylan Vital"/>
        <s v="Elissa Heim"/>
        <s v="ETHAN QUANCI"/>
        <s v="Garrett Goon"/>
        <s v="Grace Icenogle"/>
        <s v="Grace Kim"/>
        <s v="Ian Proud"/>
        <s v="Ian Riley"/>
        <s v="Isaac Caruthers"/>
        <s v="Jack Higgins"/>
        <s v="Jack Wilke"/>
        <s v="Jacob Tannahill"/>
        <s v="Jeremy Taitanl"/>
        <s v="Jeremy Vital"/>
        <s v="JOSHUA DORR"/>
        <s v="Karen Yee"/>
        <s v="Kerry Gamble"/>
        <s v="Khang Nghe"/>
        <s v="Kim Kuoch"/>
        <s v="Leonard Knittel"/>
        <s v="Liz Long"/>
        <s v="Magda Papaionnou"/>
        <s v="Mason Dudeley"/>
        <s v="Matt Bui"/>
        <s v="Matt Miller"/>
        <s v="Michael Cunningham"/>
        <s v="Michael Wadsley"/>
        <s v="Mike DiStanephano"/>
        <s v="Mike Sangrillo"/>
        <s v="Oliver Robins"/>
        <s v="Pedram Niknan"/>
        <s v="Peter Chuour"/>
        <s v="PHIL KHAISMAN"/>
        <s v="Ravi Chohan"/>
        <s v="Rob Walls"/>
        <s v="Ross Askanazi"/>
        <s v="Ryan Rue"/>
        <s v="Sam Marder"/>
        <s v="Sammie Warner"/>
        <s v="Sarah Jahara"/>
        <s v="Scott Jeffers"/>
        <s v="Sean O'Connor"/>
        <s v="Stephanie Kerrigan"/>
        <s v="Stephanie Manasse"/>
        <s v="Taylor Clark"/>
        <s v="Tim Misnik"/>
        <s v="Tyler Devilbiss"/>
        <s v="Will Hancock-Cerutti"/>
        <s v="Zach Robbins"/>
        <s v="Zip Austin Alexander"/>
        <m/>
        <s v="Joe Esposito" u="1"/>
        <s v="Nathan Schomer" u="1"/>
        <s v="HANK" u="1"/>
        <s v="Nick Galitzki" u="1"/>
        <s v="Mark Bolen - DROP" u="1"/>
        <s v="E" u="1"/>
        <s v="WAY" u="1"/>
        <s v="Ashley Gaulding" u="1"/>
        <s v="JOE" u="1"/>
        <s v="Devon Kodger" u="1"/>
        <s v="A" u="1"/>
        <s v="WILL" u="1"/>
        <s v="Katrina Hauck" u="1"/>
        <s v="Steven Do - DROP" u="1"/>
        <s v="RED" u="1"/>
        <s v="Rita Antosik" u="1"/>
        <s v="F" u="1"/>
        <s v="JANE" u="1"/>
        <s v="BILL" u="1"/>
        <s v="TOE" u="1"/>
        <s v="Climber Name" u="1"/>
        <s v="Peter " u="1"/>
        <s v="D" u="1"/>
        <s v="Marcus Kunkle" u="1"/>
        <s v="DAN" u="1"/>
        <s v="Bryanna Wands" u="1"/>
        <s v="TOM" u="1"/>
        <s v="B" u="1"/>
        <s v="FRANK" u="1"/>
        <s v="Ted Cary" u="1"/>
        <s v="Mark Bolen" u="1"/>
        <s v="MIKE" u="1"/>
        <s v="Steve Do" u="1"/>
      </sharedItems>
    </cacheField>
    <cacheField name="Division" numFmtId="0">
      <sharedItems containsBlank="1" count="9">
        <s v="MB"/>
        <s v="WB"/>
        <s v="WI"/>
        <s v="MA"/>
        <s v="MI"/>
        <s v="WA"/>
        <b v="0"/>
        <m u="1"/>
        <e v="#NUM!" u="1"/>
      </sharedItems>
    </cacheField>
    <cacheField name="Overall Ranking" numFmtId="0">
      <sharedItems containsSemiMixedTypes="0" containsString="0" containsNumber="1" containsInteger="1" minValue="1" maxValue="71"/>
    </cacheField>
    <cacheField name="Score Total" numFmtId="0">
      <sharedItems containsSemiMixedTypes="0" containsString="0" containsNumber="1" containsInteger="1" minValue="0" maxValue="360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7">
  <r>
    <x v="0"/>
    <x v="0"/>
    <x v="0"/>
    <x v="0"/>
    <x v="0"/>
    <n v="38"/>
    <n v="1542"/>
  </r>
  <r>
    <x v="1"/>
    <x v="1"/>
    <x v="0"/>
    <x v="1"/>
    <x v="0"/>
    <n v="22"/>
    <n v="1875"/>
  </r>
  <r>
    <x v="1"/>
    <x v="1"/>
    <x v="1"/>
    <x v="2"/>
    <x v="1"/>
    <n v="55"/>
    <n v="825"/>
  </r>
  <r>
    <x v="0"/>
    <x v="1"/>
    <x v="1"/>
    <x v="3"/>
    <x v="1"/>
    <n v="69"/>
    <n v="149"/>
  </r>
  <r>
    <x v="1"/>
    <x v="1"/>
    <x v="1"/>
    <x v="4"/>
    <x v="2"/>
    <n v="34"/>
    <n v="1603"/>
  </r>
  <r>
    <x v="0"/>
    <x v="1"/>
    <x v="0"/>
    <x v="5"/>
    <x v="0"/>
    <n v="68"/>
    <n v="361"/>
  </r>
  <r>
    <x v="0"/>
    <x v="1"/>
    <x v="0"/>
    <x v="6"/>
    <x v="0"/>
    <n v="49"/>
    <n v="1062"/>
  </r>
  <r>
    <x v="1"/>
    <x v="1"/>
    <x v="0"/>
    <x v="7"/>
    <x v="3"/>
    <n v="1"/>
    <n v="3608"/>
  </r>
  <r>
    <x v="0"/>
    <x v="0"/>
    <x v="0"/>
    <x v="8"/>
    <x v="0"/>
    <n v="54"/>
    <n v="835"/>
  </r>
  <r>
    <x v="1"/>
    <x v="1"/>
    <x v="1"/>
    <x v="9"/>
    <x v="2"/>
    <n v="37"/>
    <n v="1562"/>
  </r>
  <r>
    <x v="0"/>
    <x v="2"/>
    <x v="0"/>
    <x v="10"/>
    <x v="4"/>
    <n v="13"/>
    <n v="2180"/>
  </r>
  <r>
    <x v="0"/>
    <x v="0"/>
    <x v="0"/>
    <x v="11"/>
    <x v="0"/>
    <n v="53"/>
    <n v="964"/>
  </r>
  <r>
    <x v="2"/>
    <x v="1"/>
    <x v="0"/>
    <x v="12"/>
    <x v="3"/>
    <n v="5"/>
    <n v="3462"/>
  </r>
  <r>
    <x v="0"/>
    <x v="2"/>
    <x v="1"/>
    <x v="13"/>
    <x v="1"/>
    <n v="48"/>
    <n v="1073"/>
  </r>
  <r>
    <x v="1"/>
    <x v="1"/>
    <x v="0"/>
    <x v="14"/>
    <x v="0"/>
    <n v="40"/>
    <n v="1402"/>
  </r>
  <r>
    <x v="0"/>
    <x v="3"/>
    <x v="0"/>
    <x v="15"/>
    <x v="4"/>
    <n v="17"/>
    <n v="2116"/>
  </r>
  <r>
    <x v="1"/>
    <x v="1"/>
    <x v="0"/>
    <x v="16"/>
    <x v="0"/>
    <n v="30"/>
    <n v="1660"/>
  </r>
  <r>
    <x v="0"/>
    <x v="0"/>
    <x v="0"/>
    <x v="17"/>
    <x v="4"/>
    <n v="21"/>
    <n v="1951"/>
  </r>
  <r>
    <x v="1"/>
    <x v="1"/>
    <x v="0"/>
    <x v="18"/>
    <x v="0"/>
    <n v="31"/>
    <n v="1655"/>
  </r>
  <r>
    <x v="3"/>
    <x v="1"/>
    <x v="0"/>
    <x v="19"/>
    <x v="4"/>
    <n v="11"/>
    <n v="2235"/>
  </r>
  <r>
    <x v="4"/>
    <x v="4"/>
    <x v="0"/>
    <x v="20"/>
    <x v="0"/>
    <n v="32"/>
    <n v="1629"/>
  </r>
  <r>
    <x v="1"/>
    <x v="0"/>
    <x v="1"/>
    <x v="21"/>
    <x v="5"/>
    <n v="26"/>
    <n v="1705"/>
  </r>
  <r>
    <x v="3"/>
    <x v="1"/>
    <x v="0"/>
    <x v="22"/>
    <x v="4"/>
    <n v="9"/>
    <n v="2674"/>
  </r>
  <r>
    <x v="0"/>
    <x v="2"/>
    <x v="0"/>
    <x v="23"/>
    <x v="0"/>
    <n v="41"/>
    <n v="1361"/>
  </r>
  <r>
    <x v="0"/>
    <x v="0"/>
    <x v="1"/>
    <x v="24"/>
    <x v="5"/>
    <n v="20"/>
    <n v="1990"/>
  </r>
  <r>
    <x v="0"/>
    <x v="0"/>
    <x v="1"/>
    <x v="25"/>
    <x v="1"/>
    <n v="52"/>
    <n v="1020"/>
  </r>
  <r>
    <x v="1"/>
    <x v="1"/>
    <x v="0"/>
    <x v="26"/>
    <x v="0"/>
    <n v="33"/>
    <n v="1620"/>
  </r>
  <r>
    <x v="1"/>
    <x v="1"/>
    <x v="0"/>
    <x v="27"/>
    <x v="0"/>
    <n v="56"/>
    <n v="794"/>
  </r>
  <r>
    <x v="0"/>
    <x v="2"/>
    <x v="0"/>
    <x v="28"/>
    <x v="3"/>
    <n v="2"/>
    <n v="3532"/>
  </r>
  <r>
    <x v="0"/>
    <x v="0"/>
    <x v="0"/>
    <x v="29"/>
    <x v="0"/>
    <n v="45"/>
    <n v="1157"/>
  </r>
  <r>
    <x v="1"/>
    <x v="1"/>
    <x v="0"/>
    <x v="30"/>
    <x v="3"/>
    <n v="8"/>
    <n v="3143"/>
  </r>
  <r>
    <x v="0"/>
    <x v="1"/>
    <x v="0"/>
    <x v="31"/>
    <x v="0"/>
    <n v="47"/>
    <n v="1095"/>
  </r>
  <r>
    <x v="1"/>
    <x v="0"/>
    <x v="0"/>
    <x v="32"/>
    <x v="0"/>
    <n v="25"/>
    <n v="1719"/>
  </r>
  <r>
    <x v="1"/>
    <x v="1"/>
    <x v="0"/>
    <x v="33"/>
    <x v="4"/>
    <n v="18"/>
    <n v="2037"/>
  </r>
  <r>
    <x v="0"/>
    <x v="0"/>
    <x v="0"/>
    <x v="34"/>
    <x v="0"/>
    <n v="62"/>
    <n v="638"/>
  </r>
  <r>
    <x v="1"/>
    <x v="1"/>
    <x v="1"/>
    <x v="35"/>
    <x v="5"/>
    <n v="23"/>
    <n v="1791"/>
  </r>
  <r>
    <x v="1"/>
    <x v="2"/>
    <x v="1"/>
    <x v="36"/>
    <x v="1"/>
    <n v="42"/>
    <n v="1313"/>
  </r>
  <r>
    <x v="0"/>
    <x v="1"/>
    <x v="0"/>
    <x v="37"/>
    <x v="0"/>
    <n v="66"/>
    <n v="499"/>
  </r>
  <r>
    <x v="0"/>
    <x v="2"/>
    <x v="1"/>
    <x v="38"/>
    <x v="5"/>
    <n v="29"/>
    <n v="1665"/>
  </r>
  <r>
    <x v="3"/>
    <x v="1"/>
    <x v="0"/>
    <x v="39"/>
    <x v="4"/>
    <n v="19"/>
    <n v="2024"/>
  </r>
  <r>
    <x v="1"/>
    <x v="1"/>
    <x v="1"/>
    <x v="40"/>
    <x v="5"/>
    <n v="24"/>
    <n v="1771"/>
  </r>
  <r>
    <x v="1"/>
    <x v="1"/>
    <x v="1"/>
    <x v="41"/>
    <x v="1"/>
    <n v="65"/>
    <n v="508"/>
  </r>
  <r>
    <x v="3"/>
    <x v="1"/>
    <x v="0"/>
    <x v="42"/>
    <x v="4"/>
    <n v="12"/>
    <n v="2230"/>
  </r>
  <r>
    <x v="1"/>
    <x v="1"/>
    <x v="0"/>
    <x v="43"/>
    <x v="0"/>
    <n v="51"/>
    <n v="1023"/>
  </r>
  <r>
    <x v="1"/>
    <x v="1"/>
    <x v="0"/>
    <x v="44"/>
    <x v="0"/>
    <n v="28"/>
    <n v="1672"/>
  </r>
  <r>
    <x v="1"/>
    <x v="1"/>
    <x v="0"/>
    <x v="45"/>
    <x v="3"/>
    <n v="4"/>
    <n v="3487"/>
  </r>
  <r>
    <x v="1"/>
    <x v="0"/>
    <x v="0"/>
    <x v="46"/>
    <x v="0"/>
    <n v="58"/>
    <n v="737"/>
  </r>
  <r>
    <x v="1"/>
    <x v="2"/>
    <x v="0"/>
    <x v="47"/>
    <x v="0"/>
    <n v="43"/>
    <n v="1216"/>
  </r>
  <r>
    <x v="3"/>
    <x v="1"/>
    <x v="0"/>
    <x v="48"/>
    <x v="0"/>
    <n v="36"/>
    <n v="1573"/>
  </r>
  <r>
    <x v="1"/>
    <x v="1"/>
    <x v="0"/>
    <x v="49"/>
    <x v="0"/>
    <n v="57"/>
    <n v="748"/>
  </r>
  <r>
    <x v="0"/>
    <x v="1"/>
    <x v="0"/>
    <x v="50"/>
    <x v="3"/>
    <n v="3"/>
    <n v="3520"/>
  </r>
  <r>
    <x v="0"/>
    <x v="2"/>
    <x v="0"/>
    <x v="51"/>
    <x v="4"/>
    <n v="15"/>
    <n v="2127"/>
  </r>
  <r>
    <x v="0"/>
    <x v="0"/>
    <x v="0"/>
    <x v="52"/>
    <x v="0"/>
    <n v="58"/>
    <n v="737"/>
  </r>
  <r>
    <x v="0"/>
    <x v="1"/>
    <x v="0"/>
    <x v="53"/>
    <x v="0"/>
    <n v="63"/>
    <n v="626"/>
  </r>
  <r>
    <x v="1"/>
    <x v="1"/>
    <x v="0"/>
    <x v="54"/>
    <x v="0"/>
    <n v="44"/>
    <n v="1200"/>
  </r>
  <r>
    <x v="1"/>
    <x v="2"/>
    <x v="0"/>
    <x v="55"/>
    <x v="0"/>
    <n v="39"/>
    <n v="1447"/>
  </r>
  <r>
    <x v="1"/>
    <x v="1"/>
    <x v="0"/>
    <x v="56"/>
    <x v="0"/>
    <n v="46"/>
    <n v="1096"/>
  </r>
  <r>
    <x v="1"/>
    <x v="1"/>
    <x v="0"/>
    <x v="57"/>
    <x v="0"/>
    <n v="69"/>
    <n v="149"/>
  </r>
  <r>
    <x v="1"/>
    <x v="1"/>
    <x v="1"/>
    <x v="58"/>
    <x v="1"/>
    <n v="50"/>
    <n v="1033"/>
  </r>
  <r>
    <x v="3"/>
    <x v="1"/>
    <x v="1"/>
    <x v="59"/>
    <x v="5"/>
    <n v="27"/>
    <n v="1686"/>
  </r>
  <r>
    <x v="1"/>
    <x v="1"/>
    <x v="0"/>
    <x v="60"/>
    <x v="4"/>
    <n v="10"/>
    <n v="2558"/>
  </r>
  <r>
    <x v="1"/>
    <x v="1"/>
    <x v="0"/>
    <x v="61"/>
    <x v="4"/>
    <n v="14"/>
    <n v="2161"/>
  </r>
  <r>
    <x v="1"/>
    <x v="1"/>
    <x v="1"/>
    <x v="62"/>
    <x v="1"/>
    <n v="60"/>
    <n v="728"/>
  </r>
  <r>
    <x v="1"/>
    <x v="1"/>
    <x v="1"/>
    <x v="63"/>
    <x v="1"/>
    <n v="61"/>
    <n v="725"/>
  </r>
  <r>
    <x v="1"/>
    <x v="1"/>
    <x v="0"/>
    <x v="64"/>
    <x v="0"/>
    <n v="67"/>
    <n v="429"/>
  </r>
  <r>
    <x v="0"/>
    <x v="0"/>
    <x v="0"/>
    <x v="65"/>
    <x v="0"/>
    <n v="64"/>
    <n v="583"/>
  </r>
  <r>
    <x v="1"/>
    <x v="1"/>
    <x v="0"/>
    <x v="66"/>
    <x v="3"/>
    <n v="6"/>
    <n v="3229"/>
  </r>
  <r>
    <x v="0"/>
    <x v="2"/>
    <x v="0"/>
    <x v="67"/>
    <x v="4"/>
    <n v="16"/>
    <n v="2123"/>
  </r>
  <r>
    <x v="1"/>
    <x v="1"/>
    <x v="0"/>
    <x v="68"/>
    <x v="3"/>
    <n v="7"/>
    <n v="3201"/>
  </r>
  <r>
    <x v="1"/>
    <x v="1"/>
    <x v="0"/>
    <x v="69"/>
    <x v="0"/>
    <n v="35"/>
    <n v="1588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  <r>
    <x v="1"/>
    <x v="5"/>
    <x v="2"/>
    <x v="70"/>
    <x v="6"/>
    <n v="71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6" cacheId="0" applyNumberFormats="0" applyBorderFormats="0" applyFontFormats="0" applyPatternFormats="0" applyAlignmentFormats="0" applyWidthHeightFormats="1" dataCaption="Values" updatedVersion="3" minRefreshableVersion="3" showCalcMbrs="0" useAutoFormatting="1" rowGrandTotals="0" itemPrintTitles="1" createdVersion="3" indent="0" outline="1" outlineData="1" multipleFieldFilters="0">
  <location ref="B6:C84" firstHeaderRow="1" firstDataRow="1" firstDataCol="1" rowPageCount="3" colPageCount="1"/>
  <pivotFields count="7">
    <pivotField axis="axisPage" showAll="0">
      <items count="7">
        <item m="1" x="5"/>
        <item x="0"/>
        <item x="1"/>
        <item x="3"/>
        <item x="4"/>
        <item x="2"/>
        <item t="default"/>
      </items>
    </pivotField>
    <pivotField axis="axisPage" showAll="0">
      <items count="15">
        <item x="1"/>
        <item m="1" x="8"/>
        <item x="0"/>
        <item m="1" x="13"/>
        <item m="1" x="12"/>
        <item m="1" x="7"/>
        <item x="5"/>
        <item m="1" x="11"/>
        <item m="1" x="6"/>
        <item x="2"/>
        <item m="1" x="10"/>
        <item m="1" x="9"/>
        <item x="3"/>
        <item x="4"/>
        <item t="default"/>
      </items>
    </pivotField>
    <pivotField axis="axisPage" showAll="0">
      <items count="5">
        <item x="0"/>
        <item x="1"/>
        <item x="2"/>
        <item m="1" x="3"/>
        <item t="default"/>
      </items>
    </pivotField>
    <pivotField axis="axisRow" showAll="0" sortType="descending">
      <items count="105">
        <item m="1" x="89"/>
        <item m="1" x="95"/>
        <item m="1" x="99"/>
        <item m="1" x="73"/>
        <item m="1" x="88"/>
        <item m="1" x="79"/>
        <item m="1" x="102"/>
        <item m="1" x="85"/>
        <item m="1" x="90"/>
        <item m="1" x="97"/>
        <item m="1" x="77"/>
        <item m="1" x="82"/>
        <item x="70"/>
        <item m="1" x="81"/>
        <item m="1" x="98"/>
        <item m="1" x="91"/>
        <item m="1" x="93"/>
        <item m="1" x="76"/>
        <item m="1" x="87"/>
        <item x="58"/>
        <item x="69"/>
        <item m="1" x="86"/>
        <item x="31"/>
        <item x="26"/>
        <item x="18"/>
        <item x="41"/>
        <item x="48"/>
        <item m="1" x="72"/>
        <item m="1" x="71"/>
        <item m="1" x="80"/>
        <item x="57"/>
        <item x="44"/>
        <item x="54"/>
        <item x="1"/>
        <item x="62"/>
        <item x="63"/>
        <item x="2"/>
        <item x="9"/>
        <item x="64"/>
        <item x="49"/>
        <item x="43"/>
        <item x="33"/>
        <item x="16"/>
        <item x="35"/>
        <item x="4"/>
        <item x="40"/>
        <item x="27"/>
        <item x="56"/>
        <item x="68"/>
        <item m="1" x="74"/>
        <item m="1" x="78"/>
        <item x="14"/>
        <item x="66"/>
        <item x="45"/>
        <item x="60"/>
        <item x="30"/>
        <item x="59"/>
        <item m="1" x="103"/>
        <item m="1" x="101"/>
        <item x="11"/>
        <item x="39"/>
        <item x="20"/>
        <item x="6"/>
        <item x="67"/>
        <item m="1" x="100"/>
        <item x="37"/>
        <item x="13"/>
        <item x="23"/>
        <item x="3"/>
        <item x="5"/>
        <item x="53"/>
        <item x="29"/>
        <item x="25"/>
        <item x="0"/>
        <item x="61"/>
        <item x="55"/>
        <item x="47"/>
        <item x="17"/>
        <item x="50"/>
        <item x="24"/>
        <item m="1" x="92"/>
        <item x="65"/>
        <item x="10"/>
        <item x="51"/>
        <item x="42"/>
        <item x="36"/>
        <item x="15"/>
        <item m="1" x="84"/>
        <item m="1" x="75"/>
        <item m="1" x="83"/>
        <item x="8"/>
        <item m="1" x="96"/>
        <item x="19"/>
        <item m="1" x="94"/>
        <item x="12"/>
        <item x="32"/>
        <item x="46"/>
        <item x="21"/>
        <item x="7"/>
        <item x="52"/>
        <item x="28"/>
        <item x="38"/>
        <item x="34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 sortType="descending">
      <items count="10">
        <item x="3"/>
        <item x="0"/>
        <item x="4"/>
        <item x="5"/>
        <item x="1"/>
        <item x="2"/>
        <item x="6"/>
        <item m="1" x="7"/>
        <item m="1" x="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dataField="1" showAll="0"/>
  </pivotFields>
  <rowFields count="2">
    <field x="4"/>
    <field x="3"/>
  </rowFields>
  <rowItems count="78">
    <i>
      <x v="1"/>
    </i>
    <i r="1">
      <x v="33"/>
    </i>
    <i r="1">
      <x v="95"/>
    </i>
    <i r="1">
      <x v="31"/>
    </i>
    <i r="1">
      <x v="42"/>
    </i>
    <i r="1">
      <x v="24"/>
    </i>
    <i r="1">
      <x v="61"/>
    </i>
    <i r="1">
      <x v="23"/>
    </i>
    <i r="1">
      <x v="20"/>
    </i>
    <i r="1">
      <x v="26"/>
    </i>
    <i r="1">
      <x v="73"/>
    </i>
    <i r="1">
      <x v="75"/>
    </i>
    <i r="1">
      <x v="51"/>
    </i>
    <i r="1">
      <x v="67"/>
    </i>
    <i r="1">
      <x v="76"/>
    </i>
    <i r="1">
      <x v="32"/>
    </i>
    <i r="1">
      <x v="71"/>
    </i>
    <i r="1">
      <x v="47"/>
    </i>
    <i r="1">
      <x v="22"/>
    </i>
    <i r="1">
      <x v="62"/>
    </i>
    <i r="1">
      <x v="40"/>
    </i>
    <i r="1">
      <x v="59"/>
    </i>
    <i r="1">
      <x v="90"/>
    </i>
    <i r="1">
      <x v="46"/>
    </i>
    <i r="1">
      <x v="39"/>
    </i>
    <i r="1">
      <x v="99"/>
    </i>
    <i r="1">
      <x v="96"/>
    </i>
    <i r="1">
      <x v="102"/>
    </i>
    <i r="1">
      <x v="70"/>
    </i>
    <i r="1">
      <x v="81"/>
    </i>
    <i r="1">
      <x v="65"/>
    </i>
    <i r="1">
      <x v="38"/>
    </i>
    <i r="1">
      <x v="69"/>
    </i>
    <i r="1">
      <x v="30"/>
    </i>
    <i>
      <x/>
    </i>
    <i r="1">
      <x v="98"/>
    </i>
    <i r="1">
      <x v="100"/>
    </i>
    <i r="1">
      <x v="78"/>
    </i>
    <i r="1">
      <x v="53"/>
    </i>
    <i r="1">
      <x v="94"/>
    </i>
    <i r="1">
      <x v="52"/>
    </i>
    <i r="1">
      <x v="48"/>
    </i>
    <i r="1">
      <x v="55"/>
    </i>
    <i>
      <x v="2"/>
    </i>
    <i r="1">
      <x v="103"/>
    </i>
    <i r="1">
      <x v="54"/>
    </i>
    <i r="1">
      <x v="92"/>
    </i>
    <i r="1">
      <x v="84"/>
    </i>
    <i r="1">
      <x v="82"/>
    </i>
    <i r="1">
      <x v="74"/>
    </i>
    <i r="1">
      <x v="83"/>
    </i>
    <i r="1">
      <x v="63"/>
    </i>
    <i r="1">
      <x v="86"/>
    </i>
    <i r="1">
      <x v="41"/>
    </i>
    <i r="1">
      <x v="60"/>
    </i>
    <i r="1">
      <x v="77"/>
    </i>
    <i>
      <x v="3"/>
    </i>
    <i r="1">
      <x v="79"/>
    </i>
    <i r="1">
      <x v="43"/>
    </i>
    <i r="1">
      <x v="45"/>
    </i>
    <i r="1">
      <x v="97"/>
    </i>
    <i r="1">
      <x v="56"/>
    </i>
    <i r="1">
      <x v="101"/>
    </i>
    <i>
      <x v="4"/>
    </i>
    <i r="1">
      <x v="85"/>
    </i>
    <i r="1">
      <x v="66"/>
    </i>
    <i r="1">
      <x v="19"/>
    </i>
    <i r="1">
      <x v="72"/>
    </i>
    <i r="1">
      <x v="36"/>
    </i>
    <i r="1">
      <x v="34"/>
    </i>
    <i r="1">
      <x v="35"/>
    </i>
    <i r="1">
      <x v="25"/>
    </i>
    <i r="1">
      <x v="68"/>
    </i>
    <i>
      <x v="5"/>
    </i>
    <i r="1">
      <x v="44"/>
    </i>
    <i r="1">
      <x v="37"/>
    </i>
    <i>
      <x v="6"/>
    </i>
    <i r="1">
      <x v="12"/>
    </i>
  </rowItems>
  <colItems count="1">
    <i/>
  </colItems>
  <pageFields count="3">
    <pageField fld="2" hier="-1"/>
    <pageField fld="0" hier="-1"/>
    <pageField fld="1" hier="-1"/>
  </pageFields>
  <dataFields count="1">
    <dataField name="Sum of Score Total" fld="6" baseField="0" baseItem="0"/>
  </dataFields>
  <formats count="12">
    <format dxfId="11">
      <pivotArea collapsedLevelsAreSubtotals="1" fieldPosition="0">
        <references count="2">
          <reference field="3" count="3">
            <x v="31"/>
            <x v="33"/>
            <x v="95"/>
          </reference>
          <reference field="4" count="1" selected="0">
            <x v="1"/>
          </reference>
        </references>
      </pivotArea>
    </format>
    <format dxfId="10">
      <pivotArea dataOnly="0" labelOnly="1" fieldPosition="0">
        <references count="2">
          <reference field="3" count="3">
            <x v="31"/>
            <x v="33"/>
            <x v="95"/>
          </reference>
          <reference field="4" count="1" selected="0">
            <x v="1"/>
          </reference>
        </references>
      </pivotArea>
    </format>
    <format dxfId="9">
      <pivotArea collapsedLevelsAreSubtotals="1" fieldPosition="0">
        <references count="2">
          <reference field="3" count="5">
            <x v="53"/>
            <x v="78"/>
            <x v="94"/>
            <x v="98"/>
            <x v="100"/>
          </reference>
          <reference field="4" count="1" selected="0">
            <x v="0"/>
          </reference>
        </references>
      </pivotArea>
    </format>
    <format dxfId="8">
      <pivotArea dataOnly="0" labelOnly="1" fieldPosition="0">
        <references count="2">
          <reference field="3" count="5">
            <x v="53"/>
            <x v="78"/>
            <x v="94"/>
            <x v="98"/>
            <x v="100"/>
          </reference>
          <reference field="4" count="1" selected="0">
            <x v="0"/>
          </reference>
        </references>
      </pivotArea>
    </format>
    <format dxfId="7">
      <pivotArea collapsedLevelsAreSubtotals="1" fieldPosition="0">
        <references count="2">
          <reference field="3" count="3">
            <x v="54"/>
            <x v="92"/>
            <x v="103"/>
          </reference>
          <reference field="4" count="1" selected="0">
            <x v="2"/>
          </reference>
        </references>
      </pivotArea>
    </format>
    <format dxfId="6">
      <pivotArea dataOnly="0" labelOnly="1" fieldPosition="0">
        <references count="2">
          <reference field="3" count="3">
            <x v="54"/>
            <x v="92"/>
            <x v="103"/>
          </reference>
          <reference field="4" count="1" selected="0">
            <x v="2"/>
          </reference>
        </references>
      </pivotArea>
    </format>
    <format dxfId="5">
      <pivotArea collapsedLevelsAreSubtotals="1" fieldPosition="0">
        <references count="2">
          <reference field="3" count="1">
            <x v="79"/>
          </reference>
          <reference field="4" count="1" selected="0">
            <x v="3"/>
          </reference>
        </references>
      </pivotArea>
    </format>
    <format dxfId="4">
      <pivotArea dataOnly="0" labelOnly="1" fieldPosition="0">
        <references count="2">
          <reference field="3" count="1">
            <x v="79"/>
          </reference>
          <reference field="4" count="1" selected="0">
            <x v="3"/>
          </reference>
        </references>
      </pivotArea>
    </format>
    <format dxfId="3">
      <pivotArea collapsedLevelsAreSubtotals="1" fieldPosition="0">
        <references count="2">
          <reference field="3" count="4">
            <x v="45"/>
            <x v="56"/>
            <x v="97"/>
            <x v="101"/>
          </reference>
          <reference field="4" count="1" selected="0">
            <x v="3"/>
          </reference>
        </references>
      </pivotArea>
    </format>
    <format dxfId="2">
      <pivotArea dataOnly="0" labelOnly="1" fieldPosition="0">
        <references count="2">
          <reference field="3" count="4">
            <x v="45"/>
            <x v="56"/>
            <x v="97"/>
            <x v="101"/>
          </reference>
          <reference field="4" count="1" selected="0">
            <x v="3"/>
          </reference>
        </references>
      </pivotArea>
    </format>
    <format dxfId="1">
      <pivotArea collapsedLevelsAreSubtotals="1" fieldPosition="0">
        <references count="2">
          <reference field="3" count="3">
            <x v="19"/>
            <x v="66"/>
            <x v="85"/>
          </reference>
          <reference field="4" count="1" selected="0">
            <x v="4"/>
          </reference>
        </references>
      </pivotArea>
    </format>
    <format dxfId="0">
      <pivotArea dataOnly="0" labelOnly="1" fieldPosition="0">
        <references count="2">
          <reference field="3" count="3">
            <x v="19"/>
            <x v="66"/>
            <x v="85"/>
          </reference>
          <reference field="4" count="1" selected="0">
            <x v="4"/>
          </reference>
        </references>
      </pivotArea>
    </format>
  </formats>
  <pivotTableStyleInfo name="PivotStyleMedium8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Q100"/>
  <sheetViews>
    <sheetView zoomScale="60" zoomScaleNormal="60" workbookViewId="0">
      <pane xSplit="8" ySplit="3" topLeftCell="I4" activePane="bottomRight" state="frozen"/>
      <selection pane="topRight" activeCell="E1" sqref="E1"/>
      <selection pane="bottomLeft" activeCell="A3" sqref="A3"/>
      <selection pane="bottomRight" activeCell="E19" sqref="E19"/>
    </sheetView>
  </sheetViews>
  <sheetFormatPr defaultRowHeight="15"/>
  <cols>
    <col min="1" max="1" width="10.42578125" bestFit="1" customWidth="1"/>
    <col min="2" max="2" width="16.28515625" customWidth="1"/>
    <col min="3" max="3" width="24" customWidth="1"/>
    <col min="4" max="5" width="30.7109375" customWidth="1"/>
    <col min="6" max="8" width="24" customWidth="1"/>
    <col min="9" max="9" width="16.28515625" customWidth="1"/>
    <col min="10" max="10" width="12.42578125" customWidth="1"/>
    <col min="11" max="11" width="11.5703125" customWidth="1"/>
    <col min="12" max="12" width="12" customWidth="1"/>
    <col min="13" max="13" width="12.7109375" customWidth="1"/>
    <col min="15" max="16" width="12" bestFit="1" customWidth="1"/>
  </cols>
  <sheetData>
    <row r="1" spans="1:69" s="6" customFormat="1"/>
    <row r="2" spans="1:69" s="6" customFormat="1" ht="68.25" customHeight="1">
      <c r="A2" s="47" t="s">
        <v>55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8"/>
    </row>
    <row r="3" spans="1:69" s="12" customFormat="1" ht="23.25">
      <c r="A3" s="20" t="s">
        <v>93</v>
      </c>
      <c r="B3" s="21" t="s">
        <v>52</v>
      </c>
      <c r="C3" s="21" t="s">
        <v>90</v>
      </c>
      <c r="D3" s="21" t="s">
        <v>53</v>
      </c>
      <c r="E3" s="21" t="s">
        <v>74</v>
      </c>
      <c r="F3" s="21" t="s">
        <v>74</v>
      </c>
      <c r="G3" s="21" t="s">
        <v>88</v>
      </c>
      <c r="H3" s="21" t="s">
        <v>54</v>
      </c>
      <c r="I3" s="46" t="s">
        <v>87</v>
      </c>
      <c r="J3" s="46"/>
      <c r="K3" s="46"/>
      <c r="L3" s="46"/>
      <c r="M3" s="46"/>
      <c r="N3" s="11"/>
      <c r="O3" s="11"/>
      <c r="P3" s="11"/>
      <c r="Q3" s="11"/>
    </row>
    <row r="4" spans="1:69" s="6" customFormat="1" ht="21">
      <c r="A4" s="9" t="s">
        <v>152</v>
      </c>
      <c r="B4" s="7" t="s">
        <v>71</v>
      </c>
      <c r="C4" s="7" t="s">
        <v>12</v>
      </c>
      <c r="D4" s="7" t="s">
        <v>159</v>
      </c>
      <c r="E4" s="7"/>
      <c r="F4" s="10" t="str">
        <f t="shared" ref="F4:F35" si="0">IF(C4=M,IF(H4&lt;=MBP,MB,IF(H4&lt;=MIP,MI,MA)),IF(C4=W,IF(H4&lt;=WBP,WB,IF(H4&lt;=WIP,WI,WA))))</f>
        <v>MB</v>
      </c>
      <c r="G4" s="19">
        <f t="shared" ref="G4:G35" si="1">RANK(H4,$H$4:$H$100,0)</f>
        <v>38</v>
      </c>
      <c r="H4" s="19">
        <f>CEILING(SUM(LARGE(I4:BH4,{1,2,3,4,5})),1)</f>
        <v>1542</v>
      </c>
      <c r="I4" s="8">
        <f>ZZ*F</f>
        <v>93.500000000000014</v>
      </c>
      <c r="J4" s="8">
        <f>ZHH*F</f>
        <v>209.00000000000003</v>
      </c>
      <c r="K4" s="8">
        <f>ZI</f>
        <v>250</v>
      </c>
      <c r="L4" s="8">
        <f>ZAA*F</f>
        <v>308</v>
      </c>
      <c r="M4" s="22">
        <f>ZFF</f>
        <v>390</v>
      </c>
      <c r="N4" s="9">
        <f>ZE*F</f>
        <v>385.00000000000006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</row>
    <row r="5" spans="1:69" s="6" customFormat="1" ht="21">
      <c r="A5" s="9"/>
      <c r="B5" s="9" t="s">
        <v>70</v>
      </c>
      <c r="C5" s="7" t="s">
        <v>12</v>
      </c>
      <c r="D5" s="7" t="s">
        <v>122</v>
      </c>
      <c r="E5" s="7"/>
      <c r="F5" s="10" t="str">
        <f t="shared" si="0"/>
        <v>MB</v>
      </c>
      <c r="G5" s="19">
        <f t="shared" si="1"/>
        <v>22</v>
      </c>
      <c r="H5" s="19">
        <f>CEILING(SUM(LARGE(I5:BH5,{1,2,3,4,5})),1)</f>
        <v>1875</v>
      </c>
      <c r="I5" s="8">
        <f>ZHH*F</f>
        <v>209.00000000000003</v>
      </c>
      <c r="J5" s="8">
        <f>ZAA*F</f>
        <v>308</v>
      </c>
      <c r="K5" s="8">
        <f>ZY*F</f>
        <v>418.00000000000006</v>
      </c>
      <c r="L5" s="8">
        <f>ZFF</f>
        <v>390</v>
      </c>
      <c r="M5" s="22">
        <f>ZJJ*F</f>
        <v>374.00000000000006</v>
      </c>
      <c r="N5" s="9">
        <f>ZE*F</f>
        <v>385.00000000000006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</row>
    <row r="6" spans="1:69" s="6" customFormat="1" ht="21">
      <c r="A6" s="9"/>
      <c r="B6" s="9" t="s">
        <v>70</v>
      </c>
      <c r="C6" s="7" t="s">
        <v>22</v>
      </c>
      <c r="D6" s="7" t="s">
        <v>125</v>
      </c>
      <c r="E6" s="7"/>
      <c r="F6" s="10" t="str">
        <f t="shared" si="0"/>
        <v>WB</v>
      </c>
      <c r="G6" s="19">
        <f t="shared" si="1"/>
        <v>55</v>
      </c>
      <c r="H6" s="19">
        <f>CEILING(SUM(LARGE(I6:BH6,{1,2,3,4,5})),1)</f>
        <v>825</v>
      </c>
      <c r="I6" s="8">
        <f>ZU*F</f>
        <v>165</v>
      </c>
      <c r="J6" s="8">
        <f>ZI*F</f>
        <v>275</v>
      </c>
      <c r="K6" s="8">
        <f>ZHH*F</f>
        <v>209.00000000000003</v>
      </c>
      <c r="L6" s="8">
        <f>ZS*F</f>
        <v>82.5</v>
      </c>
      <c r="M6" s="22">
        <f>ZZ*F</f>
        <v>93.500000000000014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</row>
    <row r="7" spans="1:69" s="6" customFormat="1" ht="21">
      <c r="A7" s="9" t="s">
        <v>152</v>
      </c>
      <c r="B7" s="7" t="s">
        <v>70</v>
      </c>
      <c r="C7" s="7" t="s">
        <v>22</v>
      </c>
      <c r="D7" s="7" t="s">
        <v>156</v>
      </c>
      <c r="E7" s="7"/>
      <c r="F7" s="10" t="str">
        <f t="shared" si="0"/>
        <v>WB</v>
      </c>
      <c r="G7" s="19">
        <f t="shared" si="1"/>
        <v>69</v>
      </c>
      <c r="H7" s="19">
        <f>CEILING(SUM(LARGE(I7:BH7,{1,2,3,4,5})),1)</f>
        <v>149</v>
      </c>
      <c r="I7" s="8">
        <f>ZB*F</f>
        <v>55.000000000000007</v>
      </c>
      <c r="J7" s="8">
        <f>ZZ*F</f>
        <v>93.500000000000014</v>
      </c>
      <c r="K7" s="8">
        <v>0</v>
      </c>
      <c r="L7" s="8">
        <v>0</v>
      </c>
      <c r="M7" s="22">
        <v>0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</row>
    <row r="8" spans="1:69" s="6" customFormat="1" ht="21">
      <c r="A8" s="9"/>
      <c r="B8" s="9" t="s">
        <v>70</v>
      </c>
      <c r="C8" s="7" t="s">
        <v>22</v>
      </c>
      <c r="D8" s="7" t="s">
        <v>133</v>
      </c>
      <c r="E8" s="7"/>
      <c r="F8" s="10" t="str">
        <f t="shared" si="0"/>
        <v>WI</v>
      </c>
      <c r="G8" s="19">
        <f t="shared" si="1"/>
        <v>34</v>
      </c>
      <c r="H8" s="19">
        <f>CEILING(SUM(LARGE(I8:BH8,{1,2,3,4,5})),1)</f>
        <v>1603</v>
      </c>
      <c r="I8" s="8">
        <f>ZI</f>
        <v>250</v>
      </c>
      <c r="J8" s="8">
        <f>ZAA*F</f>
        <v>308</v>
      </c>
      <c r="K8" s="8">
        <f>ZC*F</f>
        <v>286</v>
      </c>
      <c r="L8" s="8">
        <f>ZE*F</f>
        <v>385.00000000000006</v>
      </c>
      <c r="M8" s="22">
        <f>ZJJ*F</f>
        <v>374.00000000000006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</row>
    <row r="9" spans="1:69" s="6" customFormat="1" ht="21">
      <c r="A9" s="9" t="s">
        <v>152</v>
      </c>
      <c r="B9" s="7" t="s">
        <v>70</v>
      </c>
      <c r="C9" s="7" t="s">
        <v>12</v>
      </c>
      <c r="D9" s="7" t="s">
        <v>157</v>
      </c>
      <c r="E9" s="7"/>
      <c r="F9" s="10" t="str">
        <f t="shared" si="0"/>
        <v>MB</v>
      </c>
      <c r="G9" s="19">
        <f t="shared" si="1"/>
        <v>68</v>
      </c>
      <c r="H9" s="19">
        <f>CEILING(SUM(LARGE(I9:BH9,{1,2,3,4,5})),1)</f>
        <v>361</v>
      </c>
      <c r="I9" s="8">
        <f>ZB*F</f>
        <v>55.000000000000007</v>
      </c>
      <c r="J9" s="8">
        <f>ZZ*F</f>
        <v>93.500000000000014</v>
      </c>
      <c r="K9" s="8">
        <f>ZS</f>
        <v>75</v>
      </c>
      <c r="L9" s="8">
        <f>ZH*F</f>
        <v>137.5</v>
      </c>
      <c r="M9" s="22">
        <v>0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</row>
    <row r="10" spans="1:69" s="6" customFormat="1" ht="21">
      <c r="A10" s="9" t="s">
        <v>152</v>
      </c>
      <c r="B10" s="7" t="s">
        <v>70</v>
      </c>
      <c r="C10" s="7" t="s">
        <v>12</v>
      </c>
      <c r="D10" s="7" t="s">
        <v>150</v>
      </c>
      <c r="E10" s="7"/>
      <c r="F10" s="10" t="str">
        <f t="shared" si="0"/>
        <v>MB</v>
      </c>
      <c r="G10" s="19">
        <f t="shared" si="1"/>
        <v>49</v>
      </c>
      <c r="H10" s="19">
        <f>CEILING(SUM(LARGE(I10:BH10,{1,2,3,4,5})),1)</f>
        <v>1062</v>
      </c>
      <c r="I10" s="8">
        <f>ZS</f>
        <v>75</v>
      </c>
      <c r="J10" s="8">
        <f>ZU</f>
        <v>150</v>
      </c>
      <c r="K10" s="8">
        <f>ZH*F</f>
        <v>137.5</v>
      </c>
      <c r="L10" s="8">
        <f>ZC</f>
        <v>260</v>
      </c>
      <c r="M10" s="22">
        <f>ZI</f>
        <v>250</v>
      </c>
      <c r="N10" s="9">
        <f>ZHH*F</f>
        <v>209.00000000000003</v>
      </c>
      <c r="O10" s="9">
        <f>ZG*F</f>
        <v>192.50000000000003</v>
      </c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</row>
    <row r="11" spans="1:69" s="6" customFormat="1" ht="21">
      <c r="A11" s="9"/>
      <c r="B11" s="7" t="s">
        <v>70</v>
      </c>
      <c r="C11" s="7" t="s">
        <v>12</v>
      </c>
      <c r="D11" s="7" t="s">
        <v>185</v>
      </c>
      <c r="E11" s="7"/>
      <c r="F11" s="10" t="str">
        <f t="shared" si="0"/>
        <v>MA</v>
      </c>
      <c r="G11" s="19">
        <f t="shared" si="1"/>
        <v>1</v>
      </c>
      <c r="H11" s="19">
        <f>CEILING(SUM(LARGE(I11:BH11,{1,2,3,4,5})),1)</f>
        <v>3608</v>
      </c>
      <c r="I11" s="8">
        <f>ZCC</f>
        <v>610</v>
      </c>
      <c r="J11" s="8">
        <f>ZK*F</f>
        <v>836.00000000000011</v>
      </c>
      <c r="K11" s="8">
        <f>ZM*F</f>
        <v>768.90000000000009</v>
      </c>
      <c r="L11" s="8">
        <f>ZV*F</f>
        <v>742.50000000000011</v>
      </c>
      <c r="M11" s="22">
        <f>ZT</f>
        <v>650</v>
      </c>
      <c r="N11" s="9">
        <f>ZI*F</f>
        <v>275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</row>
    <row r="12" spans="1:69" s="6" customFormat="1" ht="21">
      <c r="A12" s="9" t="s">
        <v>152</v>
      </c>
      <c r="B12" s="7" t="s">
        <v>71</v>
      </c>
      <c r="C12" s="7" t="s">
        <v>12</v>
      </c>
      <c r="D12" s="7" t="s">
        <v>176</v>
      </c>
      <c r="E12" s="7"/>
      <c r="F12" s="10" t="str">
        <f t="shared" si="0"/>
        <v>MB</v>
      </c>
      <c r="G12" s="19">
        <f t="shared" si="1"/>
        <v>54</v>
      </c>
      <c r="H12" s="19">
        <f>CEILING(SUM(LARGE(I12:BH12,{1,2,3,4,5})),1)</f>
        <v>835</v>
      </c>
      <c r="I12" s="9">
        <f>ZE*F</f>
        <v>385.00000000000006</v>
      </c>
      <c r="J12" s="9">
        <f>ZL</f>
        <v>450</v>
      </c>
      <c r="K12" s="8">
        <v>0</v>
      </c>
      <c r="L12" s="8">
        <v>0</v>
      </c>
      <c r="M12" s="22">
        <v>0</v>
      </c>
      <c r="N12" s="33"/>
      <c r="O12" s="33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</row>
    <row r="13" spans="1:69" s="6" customFormat="1" ht="21">
      <c r="A13" s="9"/>
      <c r="B13" s="9" t="s">
        <v>70</v>
      </c>
      <c r="C13" s="7" t="s">
        <v>22</v>
      </c>
      <c r="D13" s="7" t="s">
        <v>126</v>
      </c>
      <c r="E13" s="7"/>
      <c r="F13" s="10" t="str">
        <f t="shared" si="0"/>
        <v>WI</v>
      </c>
      <c r="G13" s="19">
        <f t="shared" si="1"/>
        <v>37</v>
      </c>
      <c r="H13" s="19">
        <f>CEILING(SUM(LARGE(I13:BH13,{1,2,3,4,5})),1)</f>
        <v>1562</v>
      </c>
      <c r="I13" s="8">
        <f>ZI*F</f>
        <v>275</v>
      </c>
      <c r="J13" s="8">
        <f>ZE*F</f>
        <v>385.00000000000006</v>
      </c>
      <c r="K13" s="8">
        <f>ZH*F</f>
        <v>137.5</v>
      </c>
      <c r="L13" s="8">
        <f>ZU*F</f>
        <v>165</v>
      </c>
      <c r="M13" s="22">
        <f>ZAA*F</f>
        <v>308</v>
      </c>
      <c r="N13" s="35">
        <f>ZFF*F</f>
        <v>429.00000000000006</v>
      </c>
      <c r="O13" s="35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</row>
    <row r="14" spans="1:69" s="6" customFormat="1" ht="21">
      <c r="A14" s="9" t="s">
        <v>152</v>
      </c>
      <c r="B14" s="7" t="s">
        <v>170</v>
      </c>
      <c r="C14" s="7" t="s">
        <v>12</v>
      </c>
      <c r="D14" s="7" t="s">
        <v>172</v>
      </c>
      <c r="E14" s="7"/>
      <c r="F14" s="10" t="str">
        <f t="shared" si="0"/>
        <v>MI</v>
      </c>
      <c r="G14" s="19">
        <f t="shared" si="1"/>
        <v>13</v>
      </c>
      <c r="H14" s="19">
        <f>CEILING(SUM(LARGE(I14:BH14,{1,2,3,4,5})),1)</f>
        <v>2180</v>
      </c>
      <c r="I14" s="8">
        <f>ZY*F</f>
        <v>418.00000000000006</v>
      </c>
      <c r="J14" s="8">
        <f>ZEE</f>
        <v>480</v>
      </c>
      <c r="K14" s="8">
        <f>ZE*F</f>
        <v>385.00000000000006</v>
      </c>
      <c r="L14" s="8">
        <f>ZF*F</f>
        <v>467.50000000000006</v>
      </c>
      <c r="M14" s="22">
        <f>ZFF*F</f>
        <v>429.00000000000006</v>
      </c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</row>
    <row r="15" spans="1:69" s="6" customFormat="1" ht="21">
      <c r="A15" s="9" t="s">
        <v>145</v>
      </c>
      <c r="B15" s="7" t="s">
        <v>71</v>
      </c>
      <c r="C15" s="7" t="s">
        <v>12</v>
      </c>
      <c r="D15" s="7" t="s">
        <v>144</v>
      </c>
      <c r="E15" s="7"/>
      <c r="F15" s="10" t="str">
        <f t="shared" si="0"/>
        <v>MB</v>
      </c>
      <c r="G15" s="19">
        <f t="shared" si="1"/>
        <v>53</v>
      </c>
      <c r="H15" s="19">
        <f>CEILING(SUM(LARGE(I15:BH15,{1,2,3,4,5})),1)</f>
        <v>964</v>
      </c>
      <c r="I15" s="8">
        <f>ZB*F</f>
        <v>55.000000000000007</v>
      </c>
      <c r="J15" s="8">
        <f>ZG*F</f>
        <v>192.50000000000003</v>
      </c>
      <c r="K15" s="8">
        <f>ZS*F</f>
        <v>82.5</v>
      </c>
      <c r="L15" s="8">
        <f>ZH*F</f>
        <v>137.5</v>
      </c>
      <c r="M15" s="22">
        <f>ZU</f>
        <v>150</v>
      </c>
      <c r="N15" s="9">
        <f>ZI*F</f>
        <v>275</v>
      </c>
      <c r="O15" s="9">
        <f>ZZ*F</f>
        <v>93.500000000000014</v>
      </c>
      <c r="P15" s="9">
        <f>ZHH*F</f>
        <v>209.00000000000003</v>
      </c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</row>
    <row r="16" spans="1:69" s="6" customFormat="1" ht="21">
      <c r="A16" s="9" t="s">
        <v>181</v>
      </c>
      <c r="B16" s="7" t="s">
        <v>70</v>
      </c>
      <c r="C16" s="7" t="s">
        <v>12</v>
      </c>
      <c r="D16" s="7" t="s">
        <v>180</v>
      </c>
      <c r="E16" s="7"/>
      <c r="F16" s="10" t="str">
        <f t="shared" si="0"/>
        <v>MA</v>
      </c>
      <c r="G16" s="19">
        <f t="shared" si="1"/>
        <v>5</v>
      </c>
      <c r="H16" s="19">
        <f>CEILING(SUM(LARGE(I16:BH16,{1,2,3,4,5})),1)</f>
        <v>3462</v>
      </c>
      <c r="I16" s="8">
        <f>ZK</f>
        <v>760</v>
      </c>
      <c r="J16" s="8">
        <f>ZM</f>
        <v>699</v>
      </c>
      <c r="K16" s="8">
        <f>ZV*F</f>
        <v>742.50000000000011</v>
      </c>
      <c r="L16" s="8">
        <f>ZCC</f>
        <v>610</v>
      </c>
      <c r="M16" s="22">
        <f>ZT</f>
        <v>650</v>
      </c>
      <c r="N16" s="9">
        <f>ZJ</f>
        <v>590</v>
      </c>
      <c r="O16" s="9">
        <f>ZN*F</f>
        <v>522.5</v>
      </c>
      <c r="P16" s="9">
        <f>ZL*F</f>
        <v>495.00000000000006</v>
      </c>
      <c r="Q16" s="9">
        <f>ZI*F</f>
        <v>275</v>
      </c>
      <c r="R16" s="9">
        <f>ZX</f>
        <v>570</v>
      </c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</row>
    <row r="17" spans="1:69" s="6" customFormat="1" ht="21">
      <c r="A17" s="9" t="s">
        <v>152</v>
      </c>
      <c r="B17" s="7" t="s">
        <v>170</v>
      </c>
      <c r="C17" s="7" t="s">
        <v>22</v>
      </c>
      <c r="D17" s="7" t="s">
        <v>154</v>
      </c>
      <c r="E17" s="7"/>
      <c r="F17" s="10" t="str">
        <f t="shared" si="0"/>
        <v>WB</v>
      </c>
      <c r="G17" s="19">
        <f t="shared" si="1"/>
        <v>48</v>
      </c>
      <c r="H17" s="19">
        <f>CEILING(SUM(LARGE(I17:BH17,{1,2,3,4,5})),1)</f>
        <v>1073</v>
      </c>
      <c r="I17" s="8">
        <f>ZB*F</f>
        <v>55.000000000000007</v>
      </c>
      <c r="J17" s="8">
        <f>ZS*F</f>
        <v>82.5</v>
      </c>
      <c r="K17" s="8">
        <f>ZH*F</f>
        <v>137.5</v>
      </c>
      <c r="L17" s="8">
        <f>ZU*F</f>
        <v>165</v>
      </c>
      <c r="M17" s="22">
        <f>ZHH*F</f>
        <v>209.00000000000003</v>
      </c>
      <c r="N17" s="9">
        <f>ZC*F</f>
        <v>286</v>
      </c>
      <c r="O17" s="9">
        <f>ZI*F</f>
        <v>275</v>
      </c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</row>
    <row r="18" spans="1:69" s="6" customFormat="1" ht="21">
      <c r="A18" s="9"/>
      <c r="B18" s="9" t="s">
        <v>70</v>
      </c>
      <c r="C18" s="7" t="s">
        <v>12</v>
      </c>
      <c r="D18" s="7" t="s">
        <v>138</v>
      </c>
      <c r="E18" s="7"/>
      <c r="F18" s="10" t="str">
        <f t="shared" si="0"/>
        <v>MB</v>
      </c>
      <c r="G18" s="19">
        <f t="shared" si="1"/>
        <v>40</v>
      </c>
      <c r="H18" s="19">
        <f>CEILING(SUM(LARGE(I18:BH18,{1,2,3,4,5})),1)</f>
        <v>1402</v>
      </c>
      <c r="I18" s="8">
        <f>ZF*F</f>
        <v>467.50000000000006</v>
      </c>
      <c r="J18" s="8">
        <f>ZU*F</f>
        <v>165</v>
      </c>
      <c r="K18" s="8">
        <f>ZO*F</f>
        <v>319</v>
      </c>
      <c r="L18" s="8">
        <f>ZL</f>
        <v>450</v>
      </c>
      <c r="M18" s="22">
        <v>0</v>
      </c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</row>
    <row r="19" spans="1:69" s="6" customFormat="1" ht="21">
      <c r="A19" s="9" t="s">
        <v>145</v>
      </c>
      <c r="B19" s="7" t="s">
        <v>193</v>
      </c>
      <c r="C19" s="7" t="s">
        <v>12</v>
      </c>
      <c r="D19" s="7" t="s">
        <v>175</v>
      </c>
      <c r="E19" s="7"/>
      <c r="F19" s="10" t="str">
        <f t="shared" si="0"/>
        <v>MI</v>
      </c>
      <c r="G19" s="19">
        <f t="shared" si="1"/>
        <v>17</v>
      </c>
      <c r="H19" s="19">
        <f>CEILING(SUM(LARGE(I19:BH19,{1,2,3,4,5})),1)</f>
        <v>2116</v>
      </c>
      <c r="I19" s="9">
        <f>ZAA*F</f>
        <v>308</v>
      </c>
      <c r="J19" s="9">
        <f>ZFF*F</f>
        <v>429.00000000000006</v>
      </c>
      <c r="K19" s="9">
        <f>ZF</f>
        <v>425</v>
      </c>
      <c r="L19" s="9">
        <f>ZN</f>
        <v>475</v>
      </c>
      <c r="M19" s="36">
        <f>ZQ</f>
        <v>369</v>
      </c>
      <c r="N19" s="9">
        <f>ZY*F</f>
        <v>418.00000000000006</v>
      </c>
      <c r="O19" s="33"/>
      <c r="P19" s="33"/>
      <c r="Q19" s="33"/>
      <c r="R19" s="33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</row>
    <row r="20" spans="1:69" s="6" customFormat="1" ht="21">
      <c r="A20" s="9"/>
      <c r="B20" s="9" t="s">
        <v>70</v>
      </c>
      <c r="C20" s="7" t="s">
        <v>12</v>
      </c>
      <c r="D20" s="7" t="s">
        <v>131</v>
      </c>
      <c r="E20" s="7"/>
      <c r="F20" s="10" t="str">
        <f t="shared" si="0"/>
        <v>MB</v>
      </c>
      <c r="G20" s="19">
        <f t="shared" si="1"/>
        <v>30</v>
      </c>
      <c r="H20" s="19">
        <f>CEILING(SUM(LARGE(I20:BH20,{1,2,3,4,5})),1)</f>
        <v>1660</v>
      </c>
      <c r="I20" s="8">
        <f>ZF</f>
        <v>425</v>
      </c>
      <c r="J20" s="8">
        <f>ZQ*F</f>
        <v>405.90000000000003</v>
      </c>
      <c r="K20" s="8">
        <f>ZFF*F</f>
        <v>429.00000000000006</v>
      </c>
      <c r="L20" s="8">
        <f>ZDD</f>
        <v>400</v>
      </c>
      <c r="M20" s="22">
        <v>0</v>
      </c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</row>
    <row r="21" spans="1:69" s="6" customFormat="1" ht="21">
      <c r="A21" s="9" t="s">
        <v>152</v>
      </c>
      <c r="B21" s="7" t="s">
        <v>71</v>
      </c>
      <c r="C21" s="7" t="s">
        <v>12</v>
      </c>
      <c r="D21" s="7" t="s">
        <v>167</v>
      </c>
      <c r="E21" s="7"/>
      <c r="F21" s="10" t="str">
        <f t="shared" si="0"/>
        <v>MI</v>
      </c>
      <c r="G21" s="19">
        <f t="shared" si="1"/>
        <v>21</v>
      </c>
      <c r="H21" s="19">
        <f>CEILING(SUM(LARGE(I21:BH21,{1,2,3,4,5})),1)</f>
        <v>1951</v>
      </c>
      <c r="I21" s="8">
        <f>ZE*F</f>
        <v>385.00000000000006</v>
      </c>
      <c r="J21" s="8">
        <f>ZF*F</f>
        <v>467.50000000000006</v>
      </c>
      <c r="K21" s="8">
        <f>ZAA*F</f>
        <v>308</v>
      </c>
      <c r="L21" s="8">
        <f>ZFF</f>
        <v>390</v>
      </c>
      <c r="M21" s="8">
        <f>ZDD</f>
        <v>400</v>
      </c>
      <c r="N21" s="9"/>
      <c r="O21" s="35"/>
      <c r="P21" s="35"/>
      <c r="Q21" s="35"/>
      <c r="R21" s="35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</row>
    <row r="22" spans="1:69" s="6" customFormat="1" ht="21">
      <c r="A22" s="9"/>
      <c r="B22" s="9" t="s">
        <v>70</v>
      </c>
      <c r="C22" s="7" t="s">
        <v>12</v>
      </c>
      <c r="D22" s="7" t="s">
        <v>117</v>
      </c>
      <c r="E22" s="7"/>
      <c r="F22" s="10" t="str">
        <f t="shared" si="0"/>
        <v>MB</v>
      </c>
      <c r="G22" s="19">
        <f t="shared" si="1"/>
        <v>31</v>
      </c>
      <c r="H22" s="19">
        <f>CEILING(SUM(LARGE(I22:BH22,{1,2,3,4,5})),1)</f>
        <v>1655</v>
      </c>
      <c r="I22" s="8">
        <f>ZC</f>
        <v>260</v>
      </c>
      <c r="J22" s="8">
        <f>ZJJ</f>
        <v>340</v>
      </c>
      <c r="K22" s="8">
        <f>ZE*F</f>
        <v>385.00000000000006</v>
      </c>
      <c r="L22" s="8">
        <f>ZZ*F</f>
        <v>93.500000000000014</v>
      </c>
      <c r="M22" s="22">
        <f>ZHH*F</f>
        <v>209.00000000000003</v>
      </c>
      <c r="N22" s="9">
        <f>ZAA</f>
        <v>280</v>
      </c>
      <c r="O22" s="9">
        <f>ZFF</f>
        <v>390</v>
      </c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</row>
    <row r="23" spans="1:69" s="6" customFormat="1" ht="21">
      <c r="A23" s="9" t="s">
        <v>178</v>
      </c>
      <c r="B23" s="7" t="s">
        <v>70</v>
      </c>
      <c r="C23" s="7" t="s">
        <v>12</v>
      </c>
      <c r="D23" s="7" t="s">
        <v>177</v>
      </c>
      <c r="E23" s="7"/>
      <c r="F23" s="10" t="str">
        <f t="shared" si="0"/>
        <v>MI</v>
      </c>
      <c r="G23" s="19">
        <f t="shared" si="1"/>
        <v>11</v>
      </c>
      <c r="H23" s="19">
        <f>CEILING(SUM(LARGE(I23:BH23,{1,2,3,4,5})),1)</f>
        <v>2235</v>
      </c>
      <c r="I23" s="8">
        <f>ZFF*F</f>
        <v>429.00000000000006</v>
      </c>
      <c r="J23" s="8">
        <f>ZDD*F</f>
        <v>440.00000000000006</v>
      </c>
      <c r="K23" s="8">
        <f>ZEE</f>
        <v>480</v>
      </c>
      <c r="L23" s="8">
        <f>ZF*F</f>
        <v>467.50000000000006</v>
      </c>
      <c r="M23" s="22">
        <f>ZY*F</f>
        <v>418.00000000000006</v>
      </c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</row>
    <row r="24" spans="1:69" s="6" customFormat="1" ht="21">
      <c r="A24" s="9" t="s">
        <v>149</v>
      </c>
      <c r="B24" s="7" t="s">
        <v>194</v>
      </c>
      <c r="C24" s="7" t="s">
        <v>12</v>
      </c>
      <c r="D24" s="7" t="s">
        <v>148</v>
      </c>
      <c r="E24" s="7"/>
      <c r="F24" s="10" t="str">
        <f t="shared" si="0"/>
        <v>MB</v>
      </c>
      <c r="G24" s="19">
        <f t="shared" si="1"/>
        <v>32</v>
      </c>
      <c r="H24" s="19">
        <f>CEILING(SUM(LARGE(I24:BH24,{1,2,3,4,5})),1)</f>
        <v>1629</v>
      </c>
      <c r="I24" s="8">
        <f>ZB*F</f>
        <v>55.000000000000007</v>
      </c>
      <c r="J24" s="8">
        <f>ZI*F</f>
        <v>275</v>
      </c>
      <c r="K24" s="8">
        <f>ZHH*F</f>
        <v>209.00000000000003</v>
      </c>
      <c r="L24" s="8">
        <f>ZC</f>
        <v>260</v>
      </c>
      <c r="M24" s="22">
        <f>ZU*F</f>
        <v>165</v>
      </c>
      <c r="N24" s="9">
        <f>ZAA</f>
        <v>280</v>
      </c>
      <c r="O24" s="9">
        <f>ZFF*F</f>
        <v>429.00000000000006</v>
      </c>
      <c r="P24" s="9">
        <f>ZE*F</f>
        <v>385.00000000000006</v>
      </c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</row>
    <row r="25" spans="1:69" s="6" customFormat="1" ht="21">
      <c r="A25" s="9"/>
      <c r="B25" s="7" t="s">
        <v>71</v>
      </c>
      <c r="C25" s="7" t="s">
        <v>22</v>
      </c>
      <c r="D25" s="7" t="s">
        <v>184</v>
      </c>
      <c r="E25" s="7"/>
      <c r="F25" s="10" t="str">
        <f t="shared" si="0"/>
        <v>WA</v>
      </c>
      <c r="G25" s="19">
        <f t="shared" si="1"/>
        <v>26</v>
      </c>
      <c r="H25" s="19">
        <f>CEILING(SUM(LARGE(I25:BH25,{1,2,3,4,5})),1)</f>
        <v>1705</v>
      </c>
      <c r="I25" s="8">
        <f>ZHH*F</f>
        <v>209.00000000000003</v>
      </c>
      <c r="J25" s="8">
        <f>ZS*F</f>
        <v>82.5</v>
      </c>
      <c r="K25" s="8">
        <f>ZU*F</f>
        <v>165</v>
      </c>
      <c r="L25" s="8">
        <f>ZAA*F</f>
        <v>308</v>
      </c>
      <c r="M25" s="22">
        <f>ZFF*F</f>
        <v>429.00000000000006</v>
      </c>
      <c r="N25" s="9">
        <f>ZDD*F</f>
        <v>440.00000000000006</v>
      </c>
      <c r="O25" s="9">
        <f>ZO*F</f>
        <v>319</v>
      </c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</row>
    <row r="26" spans="1:69" s="6" customFormat="1" ht="21">
      <c r="A26" s="9" t="s">
        <v>188</v>
      </c>
      <c r="B26" s="7" t="s">
        <v>70</v>
      </c>
      <c r="C26" s="7" t="s">
        <v>12</v>
      </c>
      <c r="D26" s="7" t="s">
        <v>192</v>
      </c>
      <c r="E26" s="7"/>
      <c r="F26" s="10" t="str">
        <f t="shared" si="0"/>
        <v>MI</v>
      </c>
      <c r="G26" s="19">
        <f t="shared" si="1"/>
        <v>9</v>
      </c>
      <c r="H26" s="19">
        <f>CEILING(SUM(LARGE(I26:BH26,{1,2,3,4,5})),1)</f>
        <v>2674</v>
      </c>
      <c r="I26" s="8">
        <f>ZJ</f>
        <v>590</v>
      </c>
      <c r="J26" s="8">
        <f>ZT</f>
        <v>650</v>
      </c>
      <c r="K26" s="8">
        <f>ZV</f>
        <v>675</v>
      </c>
      <c r="L26" s="8">
        <f>ZJJ*F</f>
        <v>374.00000000000006</v>
      </c>
      <c r="M26" s="22">
        <f>ZE*F</f>
        <v>385.00000000000006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</row>
    <row r="27" spans="1:69" s="6" customFormat="1" ht="21">
      <c r="A27" s="9" t="s">
        <v>152</v>
      </c>
      <c r="B27" s="7" t="s">
        <v>170</v>
      </c>
      <c r="C27" s="7" t="s">
        <v>12</v>
      </c>
      <c r="D27" s="7" t="s">
        <v>155</v>
      </c>
      <c r="E27" s="7"/>
      <c r="F27" s="10" t="str">
        <f t="shared" si="0"/>
        <v>MB</v>
      </c>
      <c r="G27" s="19">
        <f t="shared" si="1"/>
        <v>41</v>
      </c>
      <c r="H27" s="19">
        <f>CEILING(SUM(LARGE(I27:BH27,{1,2,3,4,5})),1)</f>
        <v>1361</v>
      </c>
      <c r="I27" s="8">
        <f>ZB*F</f>
        <v>55.000000000000007</v>
      </c>
      <c r="J27" s="8">
        <f>ZS*F</f>
        <v>82.5</v>
      </c>
      <c r="K27" s="8">
        <f>ZH*F</f>
        <v>137.5</v>
      </c>
      <c r="L27" s="8">
        <f>ZU*F</f>
        <v>165</v>
      </c>
      <c r="M27" s="22">
        <f>ZHH*F</f>
        <v>209.00000000000003</v>
      </c>
      <c r="N27" s="9">
        <f>ZI</f>
        <v>250</v>
      </c>
      <c r="O27" s="9">
        <f>ZFF*F</f>
        <v>429.00000000000006</v>
      </c>
      <c r="P27" s="9">
        <f>ZAA*F</f>
        <v>308</v>
      </c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</row>
    <row r="28" spans="1:69" s="6" customFormat="1" ht="21">
      <c r="A28" s="9" t="s">
        <v>152</v>
      </c>
      <c r="B28" s="7" t="s">
        <v>71</v>
      </c>
      <c r="C28" s="7" t="s">
        <v>22</v>
      </c>
      <c r="D28" s="7" t="s">
        <v>169</v>
      </c>
      <c r="E28" s="7"/>
      <c r="F28" s="10" t="str">
        <f t="shared" si="0"/>
        <v>WA</v>
      </c>
      <c r="G28" s="19">
        <f t="shared" si="1"/>
        <v>20</v>
      </c>
      <c r="H28" s="19">
        <f>CEILING(SUM(LARGE(I28:BH28,{1,2,3,4,5})),1)</f>
        <v>1990</v>
      </c>
      <c r="I28" s="9">
        <f>ZE*F</f>
        <v>385.00000000000006</v>
      </c>
      <c r="J28" s="9">
        <f>ZF*F</f>
        <v>467.50000000000006</v>
      </c>
      <c r="K28" s="9">
        <f>ZAA*F</f>
        <v>308</v>
      </c>
      <c r="L28" s="9">
        <f>ZFF*F</f>
        <v>429.00000000000006</v>
      </c>
      <c r="M28" s="36">
        <f>ZDD</f>
        <v>400</v>
      </c>
      <c r="N28" s="33"/>
      <c r="O28" s="33"/>
      <c r="P28" s="33"/>
      <c r="Q28" s="33"/>
      <c r="R28" s="33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</row>
    <row r="29" spans="1:69" s="6" customFormat="1" ht="21">
      <c r="A29" s="9" t="s">
        <v>152</v>
      </c>
      <c r="B29" s="7" t="s">
        <v>71</v>
      </c>
      <c r="C29" s="7" t="s">
        <v>22</v>
      </c>
      <c r="D29" s="7" t="s">
        <v>161</v>
      </c>
      <c r="E29" s="7"/>
      <c r="F29" s="10" t="str">
        <f t="shared" si="0"/>
        <v>WB</v>
      </c>
      <c r="G29" s="19">
        <f t="shared" si="1"/>
        <v>52</v>
      </c>
      <c r="H29" s="19">
        <f>CEILING(SUM(LARGE(I29:BH29,{1,2,3,4,5})),1)</f>
        <v>1020</v>
      </c>
      <c r="I29" s="8">
        <f>ZZ*F</f>
        <v>93.500000000000014</v>
      </c>
      <c r="J29" s="8">
        <f>ZHH*F</f>
        <v>209.00000000000003</v>
      </c>
      <c r="K29" s="8">
        <f>ZG*F</f>
        <v>192.50000000000003</v>
      </c>
      <c r="L29" s="8">
        <f>ZI</f>
        <v>250</v>
      </c>
      <c r="M29" s="22">
        <f>ZI*F</f>
        <v>275</v>
      </c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</row>
    <row r="30" spans="1:69" s="6" customFormat="1" ht="21">
      <c r="A30" s="9"/>
      <c r="B30" s="9" t="s">
        <v>70</v>
      </c>
      <c r="C30" s="7" t="s">
        <v>12</v>
      </c>
      <c r="D30" s="7" t="s">
        <v>116</v>
      </c>
      <c r="E30" s="7"/>
      <c r="F30" s="10" t="str">
        <f t="shared" si="0"/>
        <v>MB</v>
      </c>
      <c r="G30" s="19">
        <f t="shared" si="1"/>
        <v>33</v>
      </c>
      <c r="H30" s="19">
        <f>CEILING(SUM(LARGE(I30:BH30,{1,2,3,4,5})),1)</f>
        <v>1620</v>
      </c>
      <c r="I30" s="8">
        <f>ZG*F</f>
        <v>192.50000000000003</v>
      </c>
      <c r="J30" s="8">
        <f>ZC*F</f>
        <v>286</v>
      </c>
      <c r="K30" s="8">
        <f>ZI*F</f>
        <v>275</v>
      </c>
      <c r="L30" s="8">
        <f>ZE</f>
        <v>350</v>
      </c>
      <c r="M30" s="22">
        <f>ZAA</f>
        <v>280</v>
      </c>
      <c r="N30" s="9">
        <f>ZFF*F</f>
        <v>429.00000000000006</v>
      </c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</row>
    <row r="31" spans="1:69" s="6" customFormat="1" ht="21">
      <c r="A31" s="9"/>
      <c r="B31" s="9" t="s">
        <v>70</v>
      </c>
      <c r="C31" s="7" t="s">
        <v>12</v>
      </c>
      <c r="D31" s="7" t="s">
        <v>135</v>
      </c>
      <c r="E31" s="7"/>
      <c r="F31" s="10" t="str">
        <f t="shared" si="0"/>
        <v>MB</v>
      </c>
      <c r="G31" s="19">
        <f t="shared" si="1"/>
        <v>56</v>
      </c>
      <c r="H31" s="19">
        <f>CEILING(SUM(LARGE(I31:BH31,{1,2,3,4,5})),1)</f>
        <v>794</v>
      </c>
      <c r="I31" s="8">
        <f>ZN</f>
        <v>475</v>
      </c>
      <c r="J31" s="8">
        <f>ZO*F</f>
        <v>319</v>
      </c>
      <c r="K31" s="8">
        <v>0</v>
      </c>
      <c r="L31" s="8">
        <v>0</v>
      </c>
      <c r="M31" s="8">
        <v>0</v>
      </c>
      <c r="N31" s="35"/>
      <c r="O31" s="35"/>
      <c r="P31" s="35"/>
      <c r="Q31" s="35"/>
      <c r="R31" s="35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</row>
    <row r="32" spans="1:69" s="6" customFormat="1" ht="21">
      <c r="A32" s="9" t="s">
        <v>187</v>
      </c>
      <c r="B32" s="7" t="s">
        <v>170</v>
      </c>
      <c r="C32" s="7" t="s">
        <v>12</v>
      </c>
      <c r="D32" s="7" t="s">
        <v>189</v>
      </c>
      <c r="E32" s="7"/>
      <c r="F32" s="10" t="str">
        <f t="shared" si="0"/>
        <v>MA</v>
      </c>
      <c r="G32" s="19">
        <f t="shared" si="1"/>
        <v>2</v>
      </c>
      <c r="H32" s="19">
        <f>CEILING(SUM(LARGE(I32:BH32,{1,2,3,4,5})),1)</f>
        <v>3532</v>
      </c>
      <c r="I32" s="8">
        <f>ZP*F</f>
        <v>605</v>
      </c>
      <c r="J32" s="8">
        <f>ZJ*F</f>
        <v>649</v>
      </c>
      <c r="K32" s="8">
        <f>ZV*F</f>
        <v>742.50000000000011</v>
      </c>
      <c r="L32" s="8">
        <f>ZM</f>
        <v>699</v>
      </c>
      <c r="M32" s="22">
        <f>ZK*F</f>
        <v>836.00000000000011</v>
      </c>
      <c r="N32" s="9">
        <f>ZBB</f>
        <v>599</v>
      </c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</row>
    <row r="33" spans="1:69" s="6" customFormat="1" ht="21">
      <c r="A33" s="9" t="s">
        <v>152</v>
      </c>
      <c r="B33" s="7" t="s">
        <v>71</v>
      </c>
      <c r="C33" s="7" t="s">
        <v>12</v>
      </c>
      <c r="D33" s="7" t="s">
        <v>158</v>
      </c>
      <c r="E33" s="7"/>
      <c r="F33" s="10" t="str">
        <f t="shared" si="0"/>
        <v>MB</v>
      </c>
      <c r="G33" s="19">
        <f t="shared" si="1"/>
        <v>45</v>
      </c>
      <c r="H33" s="19">
        <f>CEILING(SUM(LARGE(I33:BH33,{1,2,3,4,5})),1)</f>
        <v>1157</v>
      </c>
      <c r="I33" s="8">
        <f>ZI</f>
        <v>250</v>
      </c>
      <c r="J33" s="8">
        <f>ZHH*F</f>
        <v>209.00000000000003</v>
      </c>
      <c r="K33" s="8">
        <f>ZFF*F</f>
        <v>429.00000000000006</v>
      </c>
      <c r="L33" s="8">
        <f>ZG</f>
        <v>175</v>
      </c>
      <c r="M33" s="22">
        <f>ZZ*F</f>
        <v>93.500000000000014</v>
      </c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</row>
    <row r="34" spans="1:69" s="6" customFormat="1" ht="21">
      <c r="A34" s="9"/>
      <c r="B34" s="9" t="s">
        <v>70</v>
      </c>
      <c r="C34" s="7" t="s">
        <v>12</v>
      </c>
      <c r="D34" s="7" t="s">
        <v>142</v>
      </c>
      <c r="E34" s="7"/>
      <c r="F34" s="10" t="str">
        <f t="shared" si="0"/>
        <v>MA</v>
      </c>
      <c r="G34" s="19">
        <f t="shared" si="1"/>
        <v>8</v>
      </c>
      <c r="H34" s="19">
        <f>CEILING(SUM(LARGE(I34:BH34,{1,2,3,4,5})),1)</f>
        <v>3143</v>
      </c>
      <c r="I34" s="8">
        <f>ZF*F</f>
        <v>467.50000000000006</v>
      </c>
      <c r="J34" s="8">
        <f>ZJ</f>
        <v>590</v>
      </c>
      <c r="K34" s="8">
        <f>ZT</f>
        <v>650</v>
      </c>
      <c r="L34" s="8">
        <f>ZV</f>
        <v>675</v>
      </c>
      <c r="M34" s="22">
        <f>ZK</f>
        <v>760</v>
      </c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</row>
    <row r="35" spans="1:69" s="6" customFormat="1" ht="21">
      <c r="A35" s="9" t="s">
        <v>152</v>
      </c>
      <c r="B35" s="9" t="s">
        <v>70</v>
      </c>
      <c r="C35" s="7" t="s">
        <v>12</v>
      </c>
      <c r="D35" s="7" t="s">
        <v>115</v>
      </c>
      <c r="E35" s="7"/>
      <c r="F35" s="10" t="str">
        <f t="shared" si="0"/>
        <v>MB</v>
      </c>
      <c r="G35" s="19">
        <f t="shared" si="1"/>
        <v>47</v>
      </c>
      <c r="H35" s="19">
        <f>CEILING(SUM(LARGE(I35:BH35,{1,2,3,4,5})),1)</f>
        <v>1095</v>
      </c>
      <c r="I35" s="8">
        <f>ZZ*F</f>
        <v>93.500000000000014</v>
      </c>
      <c r="J35" s="8">
        <f>ZH*F</f>
        <v>137.5</v>
      </c>
      <c r="K35" s="8">
        <f>ZHH*F</f>
        <v>209.00000000000003</v>
      </c>
      <c r="L35" s="8">
        <f>ZAA*F</f>
        <v>308</v>
      </c>
      <c r="M35" s="22">
        <f>ZI*F</f>
        <v>275</v>
      </c>
      <c r="N35" s="9">
        <f>ZU*F</f>
        <v>165</v>
      </c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</row>
    <row r="36" spans="1:69" s="6" customFormat="1" ht="21">
      <c r="A36" s="9"/>
      <c r="B36" s="7" t="s">
        <v>71</v>
      </c>
      <c r="C36" s="7" t="s">
        <v>12</v>
      </c>
      <c r="D36" s="7" t="s">
        <v>182</v>
      </c>
      <c r="E36" s="7"/>
      <c r="F36" s="10" t="str">
        <f t="shared" ref="F36:F67" si="2">IF(C36=M,IF(H36&lt;=MBP,MB,IF(H36&lt;=MIP,MI,MA)),IF(C36=W,IF(H36&lt;=WBP,WB,IF(H36&lt;=WIP,WI,WA))))</f>
        <v>MB</v>
      </c>
      <c r="G36" s="19">
        <f t="shared" ref="G36:G67" si="3">RANK(H36,$H$4:$H$100,0)</f>
        <v>25</v>
      </c>
      <c r="H36" s="19">
        <f>CEILING(SUM(LARGE(I36:BH36,{1,2,3,4,5})),1)</f>
        <v>1719</v>
      </c>
      <c r="I36" s="8">
        <f>ZEE</f>
        <v>480</v>
      </c>
      <c r="J36" s="8">
        <f>ZDD*F</f>
        <v>440.00000000000006</v>
      </c>
      <c r="K36" s="8">
        <f>ZHH*F</f>
        <v>209.00000000000003</v>
      </c>
      <c r="L36" s="8">
        <f>ZJ</f>
        <v>590</v>
      </c>
      <c r="M36" s="22">
        <v>0</v>
      </c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</row>
    <row r="37" spans="1:69" s="6" customFormat="1" ht="21">
      <c r="A37" s="9"/>
      <c r="B37" s="9" t="s">
        <v>70</v>
      </c>
      <c r="C37" s="7" t="s">
        <v>12</v>
      </c>
      <c r="D37" s="7" t="s">
        <v>130</v>
      </c>
      <c r="E37" s="7"/>
      <c r="F37" s="10" t="str">
        <f t="shared" si="2"/>
        <v>MI</v>
      </c>
      <c r="G37" s="19">
        <f t="shared" si="3"/>
        <v>18</v>
      </c>
      <c r="H37" s="19">
        <f>CEILING(SUM(LARGE(I37:BH37,{1,2,3,4,5})),1)</f>
        <v>2037</v>
      </c>
      <c r="I37" s="8">
        <f>ZG*F</f>
        <v>192.50000000000003</v>
      </c>
      <c r="J37" s="8">
        <f>ZE*F</f>
        <v>385.00000000000006</v>
      </c>
      <c r="K37" s="8">
        <f>ZI*F</f>
        <v>275</v>
      </c>
      <c r="L37" s="8">
        <f>ZFF*F</f>
        <v>429.00000000000006</v>
      </c>
      <c r="M37" s="22">
        <f>ZF*F</f>
        <v>467.50000000000006</v>
      </c>
      <c r="N37" s="9">
        <f>ZEE</f>
        <v>480</v>
      </c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</row>
    <row r="38" spans="1:69" s="6" customFormat="1" ht="21">
      <c r="A38" s="9" t="s">
        <v>187</v>
      </c>
      <c r="B38" s="7" t="s">
        <v>71</v>
      </c>
      <c r="C38" s="7" t="s">
        <v>12</v>
      </c>
      <c r="D38" s="7" t="s">
        <v>191</v>
      </c>
      <c r="E38" s="7"/>
      <c r="F38" s="10" t="str">
        <f t="shared" si="2"/>
        <v>MB</v>
      </c>
      <c r="G38" s="19">
        <f t="shared" si="3"/>
        <v>62</v>
      </c>
      <c r="H38" s="19">
        <f>CEILING(SUM(LARGE(I38:BH38,{1,2,3,4,5})),1)</f>
        <v>638</v>
      </c>
      <c r="I38" s="8">
        <f>ZW</f>
        <v>330</v>
      </c>
      <c r="J38" s="8">
        <f>ZAA*F</f>
        <v>308</v>
      </c>
      <c r="K38" s="8">
        <v>0</v>
      </c>
      <c r="L38" s="8">
        <v>0</v>
      </c>
      <c r="M38" s="22">
        <v>0</v>
      </c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</row>
    <row r="39" spans="1:69" s="6" customFormat="1" ht="21">
      <c r="A39" s="9"/>
      <c r="B39" s="9" t="s">
        <v>70</v>
      </c>
      <c r="C39" s="7" t="s">
        <v>22</v>
      </c>
      <c r="D39" s="7" t="s">
        <v>132</v>
      </c>
      <c r="E39" s="7"/>
      <c r="F39" s="10" t="str">
        <f t="shared" si="2"/>
        <v>WA</v>
      </c>
      <c r="G39" s="19">
        <f t="shared" si="3"/>
        <v>23</v>
      </c>
      <c r="H39" s="19">
        <f>CEILING(SUM(LARGE(I39:BH39,{1,2,3,4,5})),1)</f>
        <v>1791</v>
      </c>
      <c r="I39" s="8">
        <f>ZD*F</f>
        <v>297</v>
      </c>
      <c r="J39" s="8">
        <f>ZE</f>
        <v>350</v>
      </c>
      <c r="K39" s="8">
        <f>ZF</f>
        <v>425</v>
      </c>
      <c r="L39" s="8">
        <f>ZAA</f>
        <v>280</v>
      </c>
      <c r="M39" s="22"/>
      <c r="N39" s="9">
        <f>ZFF*F</f>
        <v>429.00000000000006</v>
      </c>
      <c r="O39" s="9">
        <f>ZO</f>
        <v>290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</row>
    <row r="40" spans="1:69" s="6" customFormat="1" ht="21">
      <c r="A40" s="9"/>
      <c r="B40" s="7" t="s">
        <v>170</v>
      </c>
      <c r="C40" s="7" t="s">
        <v>22</v>
      </c>
      <c r="D40" s="7" t="s">
        <v>174</v>
      </c>
      <c r="E40" s="7"/>
      <c r="F40" s="10" t="str">
        <f t="shared" si="2"/>
        <v>WB</v>
      </c>
      <c r="G40" s="19">
        <f t="shared" si="3"/>
        <v>42</v>
      </c>
      <c r="H40" s="19">
        <f>CEILING(SUM(LARGE(I40:BH40,{1,2,3,4,5})),1)</f>
        <v>1313</v>
      </c>
      <c r="I40" s="8">
        <f>ZU</f>
        <v>150</v>
      </c>
      <c r="J40" s="8">
        <f>ZH*F</f>
        <v>137.5</v>
      </c>
      <c r="K40" s="8">
        <f>ZI*F</f>
        <v>275</v>
      </c>
      <c r="L40" s="8">
        <f>ZC*F</f>
        <v>286</v>
      </c>
      <c r="M40" s="22">
        <f>ZE</f>
        <v>350</v>
      </c>
      <c r="N40" s="9">
        <f>ZHH*F</f>
        <v>209.00000000000003</v>
      </c>
      <c r="O40" s="33">
        <f>ZG*F</f>
        <v>192.50000000000003</v>
      </c>
      <c r="P40" s="33"/>
      <c r="Q40" s="33"/>
      <c r="R40" s="33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</row>
    <row r="41" spans="1:69" s="6" customFormat="1" ht="21">
      <c r="A41" s="9" t="s">
        <v>152</v>
      </c>
      <c r="B41" s="7" t="s">
        <v>70</v>
      </c>
      <c r="C41" s="7" t="s">
        <v>12</v>
      </c>
      <c r="D41" s="7" t="s">
        <v>153</v>
      </c>
      <c r="E41" s="7"/>
      <c r="F41" s="10" t="str">
        <f t="shared" si="2"/>
        <v>MB</v>
      </c>
      <c r="G41" s="19">
        <f t="shared" si="3"/>
        <v>66</v>
      </c>
      <c r="H41" s="19">
        <f>CEILING(SUM(LARGE(I41:BH41,{1,2,3,4,5})),1)</f>
        <v>499</v>
      </c>
      <c r="I41" s="8">
        <f>ZB*F</f>
        <v>55.000000000000007</v>
      </c>
      <c r="J41" s="8">
        <f>ZZ*F</f>
        <v>93.500000000000014</v>
      </c>
      <c r="K41" s="8">
        <f>ZS</f>
        <v>75</v>
      </c>
      <c r="L41" s="8">
        <f>ZU</f>
        <v>150</v>
      </c>
      <c r="M41" s="22">
        <f>ZH</f>
        <v>125</v>
      </c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</row>
    <row r="42" spans="1:69" s="6" customFormat="1" ht="21">
      <c r="A42" s="9" t="s">
        <v>187</v>
      </c>
      <c r="B42" s="7" t="s">
        <v>170</v>
      </c>
      <c r="C42" s="7" t="s">
        <v>22</v>
      </c>
      <c r="D42" s="7" t="s">
        <v>190</v>
      </c>
      <c r="E42" s="7"/>
      <c r="F42" s="10" t="str">
        <f t="shared" si="2"/>
        <v>WA</v>
      </c>
      <c r="G42" s="19">
        <f t="shared" si="3"/>
        <v>29</v>
      </c>
      <c r="H42" s="19">
        <f>CEILING(SUM(LARGE(I42:BH42,{1,2,3,4,5})),1)</f>
        <v>1665</v>
      </c>
      <c r="I42" s="8">
        <f>ZC*F</f>
        <v>286</v>
      </c>
      <c r="J42" s="8">
        <f>ZD*F</f>
        <v>297</v>
      </c>
      <c r="K42" s="8">
        <f>ZJJ*F</f>
        <v>374.00000000000006</v>
      </c>
      <c r="L42" s="8">
        <f>ZAA*F</f>
        <v>308</v>
      </c>
      <c r="M42" s="22">
        <f>ZDD</f>
        <v>400</v>
      </c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</row>
    <row r="43" spans="1:69" s="6" customFormat="1" ht="21">
      <c r="A43" s="9" t="s">
        <v>147</v>
      </c>
      <c r="B43" s="7" t="s">
        <v>70</v>
      </c>
      <c r="C43" s="7" t="s">
        <v>12</v>
      </c>
      <c r="D43" s="7" t="s">
        <v>146</v>
      </c>
      <c r="E43" s="7"/>
      <c r="F43" s="10" t="str">
        <f t="shared" si="2"/>
        <v>MI</v>
      </c>
      <c r="G43" s="19">
        <f t="shared" si="3"/>
        <v>19</v>
      </c>
      <c r="H43" s="19">
        <f>CEILING(SUM(LARGE(I43:BH43,{1,2,3,4,5})),1)</f>
        <v>2024</v>
      </c>
      <c r="I43" s="8">
        <f>ZZ*F</f>
        <v>93.500000000000014</v>
      </c>
      <c r="J43" s="8">
        <f>ZAA*F</f>
        <v>308</v>
      </c>
      <c r="K43" s="8">
        <f>ZY</f>
        <v>380</v>
      </c>
      <c r="L43" s="8">
        <f>ZFF*F</f>
        <v>429.00000000000006</v>
      </c>
      <c r="M43" s="22">
        <f>ZJJ</f>
        <v>340</v>
      </c>
      <c r="N43" s="9">
        <f>ZE*F</f>
        <v>385.00000000000006</v>
      </c>
      <c r="O43" s="9">
        <f>ZA</f>
        <v>490</v>
      </c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</row>
    <row r="44" spans="1:69" s="6" customFormat="1" ht="21">
      <c r="A44" s="9"/>
      <c r="B44" s="9" t="s">
        <v>70</v>
      </c>
      <c r="C44" s="7" t="s">
        <v>22</v>
      </c>
      <c r="D44" s="7" t="s">
        <v>134</v>
      </c>
      <c r="E44" s="7"/>
      <c r="F44" s="10" t="str">
        <f t="shared" si="2"/>
        <v>WA</v>
      </c>
      <c r="G44" s="19">
        <f t="shared" si="3"/>
        <v>24</v>
      </c>
      <c r="H44" s="19">
        <f>CEILING(SUM(LARGE(I44:BH44,{1,2,3,4,5})),1)</f>
        <v>1771</v>
      </c>
      <c r="I44" s="8">
        <f>ZFF*F</f>
        <v>429.00000000000006</v>
      </c>
      <c r="J44" s="8">
        <f>ZAA*F</f>
        <v>308</v>
      </c>
      <c r="K44" s="8">
        <f>ZI*F</f>
        <v>275</v>
      </c>
      <c r="L44" s="8">
        <f>ZE*F</f>
        <v>385.00000000000006</v>
      </c>
      <c r="M44" s="22">
        <f>ZJJ*F</f>
        <v>374.00000000000006</v>
      </c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</row>
    <row r="45" spans="1:69" s="6" customFormat="1" ht="21">
      <c r="A45" s="9"/>
      <c r="B45" s="9" t="s">
        <v>70</v>
      </c>
      <c r="C45" s="7" t="s">
        <v>22</v>
      </c>
      <c r="D45" s="7" t="s">
        <v>118</v>
      </c>
      <c r="E45" s="7"/>
      <c r="F45" s="10" t="str">
        <f t="shared" si="2"/>
        <v>WB</v>
      </c>
      <c r="G45" s="19">
        <f t="shared" si="3"/>
        <v>65</v>
      </c>
      <c r="H45" s="19">
        <f>CEILING(SUM(LARGE(I45:BH45,{1,2,3,4,5})),1)</f>
        <v>508</v>
      </c>
      <c r="I45" s="8">
        <f>ZB*F</f>
        <v>55.000000000000007</v>
      </c>
      <c r="J45" s="8">
        <f>ZZ*F</f>
        <v>93.500000000000014</v>
      </c>
      <c r="K45" s="8">
        <f>ZHH*F</f>
        <v>209.00000000000003</v>
      </c>
      <c r="L45" s="8">
        <f>ZU</f>
        <v>150</v>
      </c>
      <c r="M45" s="22">
        <v>0</v>
      </c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</row>
    <row r="46" spans="1:69" s="6" customFormat="1" ht="21">
      <c r="A46" s="9" t="s">
        <v>178</v>
      </c>
      <c r="B46" s="7" t="s">
        <v>70</v>
      </c>
      <c r="C46" s="7" t="s">
        <v>12</v>
      </c>
      <c r="D46" s="7" t="s">
        <v>173</v>
      </c>
      <c r="E46" s="7"/>
      <c r="F46" s="10" t="str">
        <f t="shared" si="2"/>
        <v>MI</v>
      </c>
      <c r="G46" s="19">
        <f t="shared" si="3"/>
        <v>12</v>
      </c>
      <c r="H46" s="19">
        <f>CEILING(SUM(LARGE(I46:BH46,{1,2,3,4,5})),1)</f>
        <v>2230</v>
      </c>
      <c r="I46" s="8">
        <f>ZFF*F</f>
        <v>429.00000000000006</v>
      </c>
      <c r="J46" s="8">
        <f>ZDD*F</f>
        <v>440.00000000000006</v>
      </c>
      <c r="K46" s="8">
        <f>ZY*F</f>
        <v>418.00000000000006</v>
      </c>
      <c r="L46" s="8">
        <f>ZE*F</f>
        <v>385.00000000000006</v>
      </c>
      <c r="M46" s="22">
        <f>ZW*F</f>
        <v>363.00000000000006</v>
      </c>
      <c r="N46" s="9">
        <f>ZF*F</f>
        <v>467.50000000000006</v>
      </c>
      <c r="O46" s="9">
        <f>ZN</f>
        <v>475</v>
      </c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</row>
    <row r="47" spans="1:69" s="6" customFormat="1" ht="21">
      <c r="A47" s="9"/>
      <c r="B47" s="9" t="s">
        <v>70</v>
      </c>
      <c r="C47" s="7" t="s">
        <v>12</v>
      </c>
      <c r="D47" s="7" t="s">
        <v>129</v>
      </c>
      <c r="E47" s="7"/>
      <c r="F47" s="10" t="str">
        <f t="shared" si="2"/>
        <v>MB</v>
      </c>
      <c r="G47" s="19">
        <f t="shared" si="3"/>
        <v>51</v>
      </c>
      <c r="H47" s="19">
        <f>CEILING(SUM(LARGE(I47:BH47,{1,2,3,4,5})),1)</f>
        <v>1023</v>
      </c>
      <c r="I47" s="8">
        <f>ZI*F</f>
        <v>275</v>
      </c>
      <c r="J47" s="8">
        <f>ZO*F</f>
        <v>319</v>
      </c>
      <c r="K47" s="8">
        <f>ZFF*F</f>
        <v>429.00000000000006</v>
      </c>
      <c r="L47" s="8">
        <v>0</v>
      </c>
      <c r="M47" s="22">
        <v>0</v>
      </c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</row>
    <row r="48" spans="1:69" s="6" customFormat="1" ht="21">
      <c r="A48" s="9"/>
      <c r="B48" s="9" t="s">
        <v>70</v>
      </c>
      <c r="C48" s="7" t="s">
        <v>12</v>
      </c>
      <c r="D48" s="7" t="s">
        <v>121</v>
      </c>
      <c r="E48" s="7"/>
      <c r="F48" s="10" t="str">
        <f t="shared" si="2"/>
        <v>MB</v>
      </c>
      <c r="G48" s="19">
        <f t="shared" si="3"/>
        <v>28</v>
      </c>
      <c r="H48" s="19">
        <f>CEILING(SUM(LARGE(I48:BH48,{1,2,3,4,5})),1)</f>
        <v>1672</v>
      </c>
      <c r="I48" s="8">
        <f>ZHH*F</f>
        <v>209.00000000000003</v>
      </c>
      <c r="J48" s="8">
        <f>ZAA*F</f>
        <v>308</v>
      </c>
      <c r="K48" s="8">
        <f>ZY</f>
        <v>380</v>
      </c>
      <c r="L48" s="8">
        <f>ZFF</f>
        <v>390</v>
      </c>
      <c r="M48" s="22">
        <f>ZE*F</f>
        <v>385.00000000000006</v>
      </c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</row>
    <row r="49" spans="1:69" s="6" customFormat="1" ht="21">
      <c r="A49" s="9"/>
      <c r="B49" s="9" t="s">
        <v>70</v>
      </c>
      <c r="C49" s="7" t="s">
        <v>12</v>
      </c>
      <c r="D49" s="7" t="s">
        <v>140</v>
      </c>
      <c r="E49" s="7"/>
      <c r="F49" s="10" t="str">
        <f t="shared" si="2"/>
        <v>MA</v>
      </c>
      <c r="G49" s="19">
        <f t="shared" si="3"/>
        <v>4</v>
      </c>
      <c r="H49" s="19">
        <f>CEILING(SUM(LARGE(I49:BH49,{1,2,3,4,5})),1)</f>
        <v>3487</v>
      </c>
      <c r="I49" s="8">
        <f>ZQ*F</f>
        <v>405.90000000000003</v>
      </c>
      <c r="J49" s="8">
        <f>ZJ</f>
        <v>590</v>
      </c>
      <c r="K49" s="8">
        <f>ZT*F</f>
        <v>715.00000000000011</v>
      </c>
      <c r="L49" s="8">
        <f>ZV</f>
        <v>675</v>
      </c>
      <c r="M49" s="22">
        <f>ZK*F</f>
        <v>836.00000000000011</v>
      </c>
      <c r="N49" s="9">
        <f>ZX</f>
        <v>570</v>
      </c>
      <c r="O49" s="9">
        <f>ZCC*F</f>
        <v>671</v>
      </c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</row>
    <row r="50" spans="1:69" s="6" customFormat="1" ht="21">
      <c r="A50" s="9"/>
      <c r="B50" s="7" t="s">
        <v>71</v>
      </c>
      <c r="C50" s="7" t="s">
        <v>12</v>
      </c>
      <c r="D50" s="7" t="s">
        <v>183</v>
      </c>
      <c r="E50" s="7"/>
      <c r="F50" s="10" t="str">
        <f t="shared" si="2"/>
        <v>MB</v>
      </c>
      <c r="G50" s="19">
        <f t="shared" si="3"/>
        <v>58</v>
      </c>
      <c r="H50" s="19">
        <f>CEILING(SUM(LARGE(I50:BH50,{1,2,3,4,5})),1)</f>
        <v>737</v>
      </c>
      <c r="I50" s="8">
        <f>ZAA*F</f>
        <v>308</v>
      </c>
      <c r="J50" s="8">
        <f>ZFF*F</f>
        <v>429.00000000000006</v>
      </c>
      <c r="K50" s="8">
        <v>0</v>
      </c>
      <c r="L50" s="8">
        <v>0</v>
      </c>
      <c r="M50" s="22">
        <v>0</v>
      </c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</row>
    <row r="51" spans="1:69" s="6" customFormat="1" ht="21">
      <c r="A51" s="9"/>
      <c r="B51" s="7" t="s">
        <v>170</v>
      </c>
      <c r="C51" s="7" t="s">
        <v>12</v>
      </c>
      <c r="D51" s="7" t="s">
        <v>164</v>
      </c>
      <c r="E51" s="7"/>
      <c r="F51" s="10" t="str">
        <f t="shared" si="2"/>
        <v>MB</v>
      </c>
      <c r="G51" s="19">
        <f t="shared" si="3"/>
        <v>43</v>
      </c>
      <c r="H51" s="19">
        <f>CEILING(SUM(LARGE(I51:BH51,{1,2,3,4,5})),1)</f>
        <v>1216</v>
      </c>
      <c r="I51" s="8">
        <f>ZFF*F</f>
        <v>429.00000000000006</v>
      </c>
      <c r="J51" s="8">
        <f>ZY*F</f>
        <v>418.00000000000006</v>
      </c>
      <c r="K51" s="8">
        <f>ZQ</f>
        <v>369</v>
      </c>
      <c r="L51" s="8">
        <v>0</v>
      </c>
      <c r="M51" s="22">
        <v>0</v>
      </c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</row>
    <row r="52" spans="1:69" s="6" customFormat="1" ht="21">
      <c r="A52" s="9" t="s">
        <v>147</v>
      </c>
      <c r="B52" s="9" t="s">
        <v>70</v>
      </c>
      <c r="C52" s="7" t="s">
        <v>12</v>
      </c>
      <c r="D52" s="7" t="s">
        <v>119</v>
      </c>
      <c r="E52" s="7"/>
      <c r="F52" s="10" t="str">
        <f t="shared" si="2"/>
        <v>MB</v>
      </c>
      <c r="G52" s="19">
        <f t="shared" si="3"/>
        <v>36</v>
      </c>
      <c r="H52" s="19">
        <f>CEILING(SUM(LARGE(I52:BH52,{1,2,3,4,5})),1)</f>
        <v>1573</v>
      </c>
      <c r="I52" s="8">
        <f>ZO*F</f>
        <v>319</v>
      </c>
      <c r="J52" s="8">
        <f>ZI*F</f>
        <v>275</v>
      </c>
      <c r="K52" s="8">
        <f>ZC*F</f>
        <v>286</v>
      </c>
      <c r="L52" s="8">
        <f>ZE*F</f>
        <v>385.00000000000006</v>
      </c>
      <c r="M52" s="22">
        <f>ZAA*F</f>
        <v>308</v>
      </c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</row>
    <row r="53" spans="1:69" s="6" customFormat="1" ht="21">
      <c r="A53" s="9"/>
      <c r="B53" s="9" t="s">
        <v>70</v>
      </c>
      <c r="C53" s="7" t="s">
        <v>12</v>
      </c>
      <c r="D53" s="7" t="s">
        <v>128</v>
      </c>
      <c r="E53" s="7"/>
      <c r="F53" s="10" t="str">
        <f t="shared" si="2"/>
        <v>MB</v>
      </c>
      <c r="G53" s="19">
        <f t="shared" si="3"/>
        <v>57</v>
      </c>
      <c r="H53" s="19">
        <f>CEILING(SUM(LARGE(I53:BH53,{1,2,3,4,5})),1)</f>
        <v>748</v>
      </c>
      <c r="I53" s="8">
        <f>ZDD*F</f>
        <v>440.00000000000006</v>
      </c>
      <c r="J53" s="8">
        <f>ZAA*F</f>
        <v>308</v>
      </c>
      <c r="K53" s="8">
        <v>0</v>
      </c>
      <c r="L53" s="8">
        <v>0</v>
      </c>
      <c r="M53" s="22">
        <v>0</v>
      </c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</row>
    <row r="54" spans="1:69" s="6" customFormat="1" ht="21">
      <c r="A54" s="9" t="s">
        <v>152</v>
      </c>
      <c r="B54" s="7" t="s">
        <v>70</v>
      </c>
      <c r="C54" s="7" t="s">
        <v>12</v>
      </c>
      <c r="D54" s="7" t="s">
        <v>168</v>
      </c>
      <c r="E54" s="7"/>
      <c r="F54" s="10" t="str">
        <f t="shared" si="2"/>
        <v>MA</v>
      </c>
      <c r="G54" s="19">
        <f t="shared" si="3"/>
        <v>3</v>
      </c>
      <c r="H54" s="19">
        <f>CEILING(SUM(LARGE(I54:BH54,{1,2,3,4,5})),1)</f>
        <v>3520</v>
      </c>
      <c r="I54" s="8">
        <f>ZT*F</f>
        <v>715.00000000000011</v>
      </c>
      <c r="J54" s="8">
        <f>ZV</f>
        <v>675</v>
      </c>
      <c r="K54" s="8">
        <f>ZM</f>
        <v>699</v>
      </c>
      <c r="L54" s="8">
        <f>ZK</f>
        <v>760</v>
      </c>
      <c r="M54" s="22">
        <f>ZHH*F</f>
        <v>209.00000000000003</v>
      </c>
      <c r="N54" s="9">
        <f>ZFF*F</f>
        <v>429.00000000000006</v>
      </c>
      <c r="O54" s="9">
        <f>ZCC*F</f>
        <v>671</v>
      </c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</row>
    <row r="55" spans="1:69" s="6" customFormat="1" ht="21">
      <c r="A55" s="9" t="s">
        <v>152</v>
      </c>
      <c r="B55" s="7" t="s">
        <v>170</v>
      </c>
      <c r="C55" s="7" t="s">
        <v>12</v>
      </c>
      <c r="D55" s="7" t="s">
        <v>179</v>
      </c>
      <c r="E55" s="7"/>
      <c r="F55" s="10" t="str">
        <f t="shared" si="2"/>
        <v>MI</v>
      </c>
      <c r="G55" s="19">
        <f t="shared" si="3"/>
        <v>15</v>
      </c>
      <c r="H55" s="19">
        <f>CEILING(SUM(LARGE(I55:BH55,{1,2,3,4,5})),1)</f>
        <v>2127</v>
      </c>
      <c r="I55" s="8">
        <f>ZFF*F</f>
        <v>429.00000000000006</v>
      </c>
      <c r="J55" s="8">
        <f>ZI*F</f>
        <v>275</v>
      </c>
      <c r="K55" s="8">
        <f>ZEE</f>
        <v>480</v>
      </c>
      <c r="L55" s="8">
        <f>ZF*F</f>
        <v>467.50000000000006</v>
      </c>
      <c r="M55" s="22">
        <f>ZN</f>
        <v>475</v>
      </c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</row>
    <row r="56" spans="1:69" s="6" customFormat="1" ht="21">
      <c r="A56" s="9" t="s">
        <v>187</v>
      </c>
      <c r="B56" s="7" t="s">
        <v>71</v>
      </c>
      <c r="C56" s="7" t="s">
        <v>12</v>
      </c>
      <c r="D56" s="7" t="s">
        <v>186</v>
      </c>
      <c r="E56" s="7"/>
      <c r="F56" s="10" t="str">
        <f t="shared" si="2"/>
        <v>MB</v>
      </c>
      <c r="G56" s="19">
        <f t="shared" si="3"/>
        <v>58</v>
      </c>
      <c r="H56" s="19">
        <f>CEILING(SUM(LARGE(I56:BH56,{1,2,3,4,5})),1)</f>
        <v>737</v>
      </c>
      <c r="I56" s="8">
        <f>ZAA*F</f>
        <v>308</v>
      </c>
      <c r="J56" s="8">
        <f>ZFF*F</f>
        <v>429.00000000000006</v>
      </c>
      <c r="K56" s="8">
        <v>0</v>
      </c>
      <c r="L56" s="8">
        <v>0</v>
      </c>
      <c r="M56" s="22">
        <v>0</v>
      </c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</row>
    <row r="57" spans="1:69" s="6" customFormat="1" ht="21">
      <c r="A57" s="9" t="s">
        <v>152</v>
      </c>
      <c r="B57" s="7" t="s">
        <v>70</v>
      </c>
      <c r="C57" s="7" t="s">
        <v>12</v>
      </c>
      <c r="D57" s="7" t="s">
        <v>166</v>
      </c>
      <c r="E57" s="7"/>
      <c r="F57" s="10" t="str">
        <f t="shared" si="2"/>
        <v>MB</v>
      </c>
      <c r="G57" s="19">
        <f t="shared" si="3"/>
        <v>63</v>
      </c>
      <c r="H57" s="19">
        <f>CEILING(SUM(LARGE(I57:BH57,{1,2,3,4,5})),1)</f>
        <v>626</v>
      </c>
      <c r="I57" s="8">
        <f>ZB*F</f>
        <v>55.000000000000007</v>
      </c>
      <c r="J57" s="8">
        <f>ZH*F</f>
        <v>137.5</v>
      </c>
      <c r="K57" s="8">
        <f>ZZ*F</f>
        <v>93.500000000000014</v>
      </c>
      <c r="L57" s="8">
        <f>ZHH</f>
        <v>190</v>
      </c>
      <c r="M57" s="22">
        <f>ZU</f>
        <v>150</v>
      </c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</row>
    <row r="58" spans="1:69" s="6" customFormat="1" ht="21">
      <c r="A58" s="9"/>
      <c r="B58" s="9" t="s">
        <v>70</v>
      </c>
      <c r="C58" s="7" t="s">
        <v>12</v>
      </c>
      <c r="D58" s="7" t="s">
        <v>160</v>
      </c>
      <c r="E58" s="7"/>
      <c r="F58" s="10" t="str">
        <f t="shared" si="2"/>
        <v>MB</v>
      </c>
      <c r="G58" s="19">
        <f t="shared" si="3"/>
        <v>44</v>
      </c>
      <c r="H58" s="19">
        <f>CEILING(SUM(LARGE(I58:BH58,{1,2,3,4,5})),1)</f>
        <v>1200</v>
      </c>
      <c r="I58" s="8">
        <f>ZC*F</f>
        <v>286</v>
      </c>
      <c r="J58" s="8">
        <f>ZHH*F</f>
        <v>209.00000000000003</v>
      </c>
      <c r="K58" s="8">
        <f>ZI</f>
        <v>250</v>
      </c>
      <c r="L58" s="8">
        <f>ZG</f>
        <v>175</v>
      </c>
      <c r="M58" s="22">
        <f>ZAA</f>
        <v>280</v>
      </c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</row>
    <row r="59" spans="1:69" s="6" customFormat="1" ht="21">
      <c r="A59" s="9"/>
      <c r="B59" s="7" t="s">
        <v>170</v>
      </c>
      <c r="C59" s="7" t="s">
        <v>12</v>
      </c>
      <c r="D59" s="7" t="s">
        <v>163</v>
      </c>
      <c r="E59" s="7"/>
      <c r="F59" s="10" t="str">
        <f t="shared" si="2"/>
        <v>MB</v>
      </c>
      <c r="G59" s="19">
        <f t="shared" si="3"/>
        <v>39</v>
      </c>
      <c r="H59" s="19">
        <f>CEILING(SUM(LARGE(I59:BH59,{1,2,3,4,5})),1)</f>
        <v>1447</v>
      </c>
      <c r="I59" s="8">
        <f>ZY</f>
        <v>380</v>
      </c>
      <c r="J59" s="8">
        <f>ZAA*F</f>
        <v>308</v>
      </c>
      <c r="K59" s="8">
        <f>ZFF*F</f>
        <v>429.00000000000006</v>
      </c>
      <c r="L59" s="8">
        <f>ZW</f>
        <v>330</v>
      </c>
      <c r="M59" s="22">
        <v>0</v>
      </c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</row>
    <row r="60" spans="1:69" s="6" customFormat="1" ht="21">
      <c r="A60" s="9"/>
      <c r="B60" s="9" t="s">
        <v>70</v>
      </c>
      <c r="C60" s="7" t="s">
        <v>12</v>
      </c>
      <c r="D60" s="7" t="s">
        <v>136</v>
      </c>
      <c r="E60" s="7"/>
      <c r="F60" s="10" t="str">
        <f t="shared" si="2"/>
        <v>MB</v>
      </c>
      <c r="G60" s="19">
        <f t="shared" si="3"/>
        <v>46</v>
      </c>
      <c r="H60" s="19">
        <f>CEILING(SUM(LARGE(I60:BH60,{1,2,3,4,5})),1)</f>
        <v>1096</v>
      </c>
      <c r="I60" s="8">
        <f>ZE*F</f>
        <v>385.00000000000006</v>
      </c>
      <c r="J60" s="8">
        <f>ZC*F</f>
        <v>286</v>
      </c>
      <c r="K60" s="8">
        <f>ZF</f>
        <v>425</v>
      </c>
      <c r="L60" s="8">
        <v>0</v>
      </c>
      <c r="M60" s="22">
        <v>0</v>
      </c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</row>
    <row r="61" spans="1:69" s="6" customFormat="1" ht="21">
      <c r="A61" s="9"/>
      <c r="B61" s="9" t="s">
        <v>70</v>
      </c>
      <c r="C61" s="7" t="s">
        <v>12</v>
      </c>
      <c r="D61" s="7" t="s">
        <v>120</v>
      </c>
      <c r="E61" s="7"/>
      <c r="F61" s="10" t="str">
        <f t="shared" si="2"/>
        <v>MB</v>
      </c>
      <c r="G61" s="19">
        <f t="shared" si="3"/>
        <v>69</v>
      </c>
      <c r="H61" s="19">
        <f>CEILING(SUM(LARGE(I61:BH61,{1,2,3,4,5})),1)</f>
        <v>149</v>
      </c>
      <c r="I61" s="8">
        <f>ZB*F</f>
        <v>55.000000000000007</v>
      </c>
      <c r="J61" s="8">
        <f>ZZ*F</f>
        <v>93.500000000000014</v>
      </c>
      <c r="K61" s="8">
        <v>0</v>
      </c>
      <c r="L61" s="8">
        <v>0</v>
      </c>
      <c r="M61" s="22">
        <v>0</v>
      </c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</row>
    <row r="62" spans="1:69" s="6" customFormat="1" ht="21">
      <c r="A62" s="9"/>
      <c r="B62" s="9" t="s">
        <v>70</v>
      </c>
      <c r="C62" s="7" t="s">
        <v>22</v>
      </c>
      <c r="D62" s="7" t="s">
        <v>114</v>
      </c>
      <c r="E62" s="7"/>
      <c r="F62" s="10" t="str">
        <f t="shared" si="2"/>
        <v>WB</v>
      </c>
      <c r="G62" s="19">
        <f t="shared" si="3"/>
        <v>50</v>
      </c>
      <c r="H62" s="19">
        <f>CEILING(SUM(LARGE(I62:BH62,{1,2,3,4,5})),1)</f>
        <v>1033</v>
      </c>
      <c r="I62" s="8">
        <f>ZS</f>
        <v>75</v>
      </c>
      <c r="J62" s="8">
        <f>ZU</f>
        <v>150</v>
      </c>
      <c r="K62" s="8">
        <f>ZH*F</f>
        <v>137.5</v>
      </c>
      <c r="L62" s="8">
        <f>ZC*F</f>
        <v>286</v>
      </c>
      <c r="M62" s="22">
        <f>ZI</f>
        <v>250</v>
      </c>
      <c r="N62" s="8">
        <f>ZHH*F</f>
        <v>209.00000000000003</v>
      </c>
      <c r="O62" s="8"/>
      <c r="P62" s="8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</row>
    <row r="63" spans="1:69" s="6" customFormat="1" ht="21">
      <c r="A63" s="9" t="s">
        <v>188</v>
      </c>
      <c r="B63" s="9" t="s">
        <v>70</v>
      </c>
      <c r="C63" s="7" t="s">
        <v>22</v>
      </c>
      <c r="D63" s="7" t="s">
        <v>143</v>
      </c>
      <c r="E63" s="7"/>
      <c r="F63" s="10" t="str">
        <f t="shared" si="2"/>
        <v>WA</v>
      </c>
      <c r="G63" s="19">
        <f t="shared" si="3"/>
        <v>27</v>
      </c>
      <c r="H63" s="19">
        <f>CEILING(SUM(LARGE(I63:BH63,{1,2,3,4,5})),1)</f>
        <v>1686</v>
      </c>
      <c r="I63" s="8">
        <f>ZC</f>
        <v>260</v>
      </c>
      <c r="J63" s="8">
        <f>ZF*F</f>
        <v>467.50000000000006</v>
      </c>
      <c r="K63" s="8">
        <f>ZI</f>
        <v>250</v>
      </c>
      <c r="L63" s="8">
        <f>ZAA*F</f>
        <v>308</v>
      </c>
      <c r="M63" s="22">
        <f>ZDD</f>
        <v>400</v>
      </c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</row>
    <row r="64" spans="1:69" s="6" customFormat="1" ht="21">
      <c r="A64" s="9"/>
      <c r="B64" s="9" t="s">
        <v>70</v>
      </c>
      <c r="C64" s="7" t="s">
        <v>12</v>
      </c>
      <c r="D64" s="7" t="s">
        <v>141</v>
      </c>
      <c r="E64" s="7"/>
      <c r="F64" s="10" t="str">
        <f t="shared" si="2"/>
        <v>MI</v>
      </c>
      <c r="G64" s="19">
        <f t="shared" si="3"/>
        <v>10</v>
      </c>
      <c r="H64" s="19">
        <f>CEILING(SUM(LARGE(I64:BH64,{1,2,3,4,5})),1)</f>
        <v>2558</v>
      </c>
      <c r="I64" s="8">
        <f>ZA</f>
        <v>490</v>
      </c>
      <c r="J64" s="8">
        <f>ZF*F</f>
        <v>467.50000000000006</v>
      </c>
      <c r="K64" s="8">
        <f>ZE*F</f>
        <v>385.00000000000006</v>
      </c>
      <c r="L64" s="8">
        <f>ZJ*F</f>
        <v>649</v>
      </c>
      <c r="M64" s="22">
        <f>ZN*F</f>
        <v>522.5</v>
      </c>
      <c r="N64" s="9">
        <f>ZFF*F</f>
        <v>429.00000000000006</v>
      </c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</row>
    <row r="65" spans="1:69" s="6" customFormat="1" ht="21">
      <c r="A65" s="9"/>
      <c r="B65" s="7" t="s">
        <v>70</v>
      </c>
      <c r="C65" s="7" t="s">
        <v>12</v>
      </c>
      <c r="D65" s="7" t="s">
        <v>162</v>
      </c>
      <c r="E65" s="7"/>
      <c r="F65" s="10" t="str">
        <f t="shared" si="2"/>
        <v>MI</v>
      </c>
      <c r="G65" s="19">
        <f t="shared" si="3"/>
        <v>14</v>
      </c>
      <c r="H65" s="19">
        <f>CEILING(SUM(LARGE(I65:BH65,{1,2,3,4,5})),1)</f>
        <v>2161</v>
      </c>
      <c r="I65" s="8">
        <f>ZO*F</f>
        <v>319</v>
      </c>
      <c r="J65" s="8">
        <f>ZI*F</f>
        <v>275</v>
      </c>
      <c r="K65" s="8">
        <f>ZQ*F</f>
        <v>405.90000000000003</v>
      </c>
      <c r="L65" s="8">
        <f>ZY*F</f>
        <v>418.00000000000006</v>
      </c>
      <c r="M65" s="22">
        <f>ZFF*F</f>
        <v>429.00000000000006</v>
      </c>
      <c r="N65" s="9">
        <f>ZDD*F</f>
        <v>440.00000000000006</v>
      </c>
      <c r="O65" s="9">
        <f>ZF*F</f>
        <v>467.50000000000006</v>
      </c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</row>
    <row r="66" spans="1:69" s="6" customFormat="1" ht="21">
      <c r="A66" s="9"/>
      <c r="B66" s="9" t="s">
        <v>70</v>
      </c>
      <c r="C66" s="7" t="s">
        <v>22</v>
      </c>
      <c r="D66" s="7" t="s">
        <v>123</v>
      </c>
      <c r="E66" s="7"/>
      <c r="F66" s="10" t="str">
        <f t="shared" si="2"/>
        <v>WB</v>
      </c>
      <c r="G66" s="19">
        <f t="shared" si="3"/>
        <v>60</v>
      </c>
      <c r="H66" s="19">
        <f>CEILING(SUM(LARGE(I66:BH66,{1,2,3,4,5})),1)</f>
        <v>728</v>
      </c>
      <c r="I66" s="8">
        <f>ZU*F</f>
        <v>165</v>
      </c>
      <c r="J66" s="8">
        <f>ZHH*F</f>
        <v>209.00000000000003</v>
      </c>
      <c r="K66" s="8">
        <f>ZC</f>
        <v>260</v>
      </c>
      <c r="L66" s="8">
        <f>ZZ*F</f>
        <v>93.500000000000014</v>
      </c>
      <c r="M66" s="22">
        <v>0</v>
      </c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</row>
    <row r="67" spans="1:69" s="6" customFormat="1" ht="21">
      <c r="A67" s="9"/>
      <c r="B67" s="9" t="s">
        <v>70</v>
      </c>
      <c r="C67" s="7" t="s">
        <v>22</v>
      </c>
      <c r="D67" s="7" t="s">
        <v>124</v>
      </c>
      <c r="E67" s="7"/>
      <c r="F67" s="10" t="str">
        <f t="shared" si="2"/>
        <v>WB</v>
      </c>
      <c r="G67" s="19">
        <f t="shared" si="3"/>
        <v>61</v>
      </c>
      <c r="H67" s="19">
        <f>CEILING(SUM(LARGE(I67:BH67,{1,2,3,4,5})),1)</f>
        <v>725</v>
      </c>
      <c r="I67" s="8">
        <f>ZU*F</f>
        <v>165</v>
      </c>
      <c r="J67" s="8">
        <f>ZHH*F</f>
        <v>209.00000000000003</v>
      </c>
      <c r="K67" s="8">
        <f>ZS*F</f>
        <v>82.5</v>
      </c>
      <c r="L67" s="8">
        <f>ZZ*F</f>
        <v>93.500000000000014</v>
      </c>
      <c r="M67" s="22">
        <f>ZG</f>
        <v>175</v>
      </c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</row>
    <row r="68" spans="1:69" s="6" customFormat="1" ht="21">
      <c r="A68" s="9"/>
      <c r="B68" s="9" t="s">
        <v>70</v>
      </c>
      <c r="C68" s="7" t="s">
        <v>12</v>
      </c>
      <c r="D68" s="7" t="s">
        <v>127</v>
      </c>
      <c r="E68" s="7"/>
      <c r="F68" s="10" t="str">
        <f t="shared" ref="F68:F100" si="4">IF(C68=M,IF(H68&lt;=MBP,MB,IF(H68&lt;=MIP,MI,MA)),IF(C68=W,IF(H68&lt;=WBP,WB,IF(H68&lt;=WIP,WI,WA))))</f>
        <v>MB</v>
      </c>
      <c r="G68" s="19">
        <f t="shared" ref="G68:G99" si="5">RANK(H68,$H$4:$H$100,0)</f>
        <v>67</v>
      </c>
      <c r="H68" s="19">
        <f>CEILING(SUM(LARGE(I68:BH68,{1,2,3,4,5})),1)</f>
        <v>429</v>
      </c>
      <c r="I68" s="8">
        <f>ZFF*F</f>
        <v>429.00000000000006</v>
      </c>
      <c r="J68" s="8">
        <v>0</v>
      </c>
      <c r="K68" s="8">
        <v>0</v>
      </c>
      <c r="L68" s="8">
        <v>0</v>
      </c>
      <c r="M68" s="22">
        <v>0</v>
      </c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</row>
    <row r="69" spans="1:69" s="6" customFormat="1" ht="21">
      <c r="A69" s="9" t="s">
        <v>152</v>
      </c>
      <c r="B69" s="7" t="s">
        <v>71</v>
      </c>
      <c r="C69" s="7" t="s">
        <v>12</v>
      </c>
      <c r="D69" s="7" t="s">
        <v>171</v>
      </c>
      <c r="E69" s="7"/>
      <c r="F69" s="10" t="str">
        <f t="shared" si="4"/>
        <v>MB</v>
      </c>
      <c r="G69" s="19">
        <f t="shared" si="5"/>
        <v>64</v>
      </c>
      <c r="H69" s="19">
        <f>CEILING(SUM(LARGE(I69:BH69,{1,2,3,4,5})),1)</f>
        <v>583</v>
      </c>
      <c r="I69" s="9">
        <f>ZI*F</f>
        <v>275</v>
      </c>
      <c r="J69" s="9">
        <f>ZAA*F</f>
        <v>308</v>
      </c>
      <c r="K69" s="8">
        <v>0</v>
      </c>
      <c r="L69" s="8">
        <v>0</v>
      </c>
      <c r="M69" s="22">
        <v>0</v>
      </c>
      <c r="N69" s="33"/>
      <c r="P69" s="35"/>
      <c r="Q69" s="35"/>
      <c r="R69" s="35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</row>
    <row r="70" spans="1:69" s="6" customFormat="1" ht="21">
      <c r="A70" s="9"/>
      <c r="B70" s="9" t="s">
        <v>70</v>
      </c>
      <c r="C70" s="7" t="s">
        <v>12</v>
      </c>
      <c r="D70" s="7" t="s">
        <v>139</v>
      </c>
      <c r="E70" s="7"/>
      <c r="F70" s="10" t="str">
        <f t="shared" si="4"/>
        <v>MA</v>
      </c>
      <c r="G70" s="19">
        <f t="shared" si="5"/>
        <v>6</v>
      </c>
      <c r="H70" s="19">
        <f>CEILING(SUM(LARGE(I70:BH70,{1,2,3,4,5})),1)</f>
        <v>3229</v>
      </c>
      <c r="I70" s="8">
        <f>ZCC*F</f>
        <v>671</v>
      </c>
      <c r="J70" s="8">
        <f>ZM</f>
        <v>699</v>
      </c>
      <c r="K70" s="8">
        <f>ZT*F</f>
        <v>715.00000000000011</v>
      </c>
      <c r="L70" s="8">
        <f>ZJ*F</f>
        <v>649</v>
      </c>
      <c r="M70" s="22">
        <f>ZL*F</f>
        <v>495.00000000000006</v>
      </c>
      <c r="N70" s="9">
        <f>ZF*F</f>
        <v>467.50000000000006</v>
      </c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</row>
    <row r="71" spans="1:69" s="6" customFormat="1" ht="21">
      <c r="A71" s="9" t="s">
        <v>152</v>
      </c>
      <c r="B71" s="7" t="s">
        <v>170</v>
      </c>
      <c r="C71" s="7" t="s">
        <v>12</v>
      </c>
      <c r="D71" s="7" t="s">
        <v>151</v>
      </c>
      <c r="E71" s="7"/>
      <c r="F71" s="10" t="str">
        <f t="shared" si="4"/>
        <v>MI</v>
      </c>
      <c r="G71" s="19">
        <f t="shared" si="5"/>
        <v>16</v>
      </c>
      <c r="H71" s="19">
        <f>CEILING(SUM(LARGE(I71:BH71,{1,2,3,4,5})),1)</f>
        <v>2123</v>
      </c>
      <c r="I71" s="8">
        <f>ZZ*F</f>
        <v>93.500000000000014</v>
      </c>
      <c r="J71" s="8">
        <f>ZHH*F</f>
        <v>209.00000000000003</v>
      </c>
      <c r="K71" s="8">
        <f>ZAA*F</f>
        <v>308</v>
      </c>
      <c r="L71" s="8">
        <f>ZY</f>
        <v>380</v>
      </c>
      <c r="M71" s="22">
        <f>ZFF</f>
        <v>390</v>
      </c>
      <c r="N71" s="9">
        <f>ZJJ</f>
        <v>340</v>
      </c>
      <c r="O71" s="9">
        <f>ZE*F</f>
        <v>385.00000000000006</v>
      </c>
      <c r="P71" s="9">
        <f>ZA*F</f>
        <v>539</v>
      </c>
      <c r="Q71" s="9">
        <f>ZFF*F</f>
        <v>429.00000000000006</v>
      </c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</row>
    <row r="72" spans="1:69" s="6" customFormat="1" ht="21">
      <c r="A72" s="9"/>
      <c r="B72" s="9" t="s">
        <v>70</v>
      </c>
      <c r="C72" s="7" t="s">
        <v>12</v>
      </c>
      <c r="D72" s="7" t="s">
        <v>137</v>
      </c>
      <c r="E72" s="7"/>
      <c r="F72" s="10" t="str">
        <f t="shared" si="4"/>
        <v>MA</v>
      </c>
      <c r="G72" s="19">
        <f t="shared" si="5"/>
        <v>7</v>
      </c>
      <c r="H72" s="19">
        <f>CEILING(SUM(LARGE(I72:BH72,{1,2,3,4,5})),1)</f>
        <v>3201</v>
      </c>
      <c r="I72" s="8">
        <f>ZL*F</f>
        <v>495.00000000000006</v>
      </c>
      <c r="J72" s="8">
        <f>ZN*F</f>
        <v>522.5</v>
      </c>
      <c r="K72" s="8">
        <f>ZP</f>
        <v>550</v>
      </c>
      <c r="L72" s="8">
        <f>ZJ</f>
        <v>590</v>
      </c>
      <c r="M72" s="22">
        <f>ZT*F</f>
        <v>715.00000000000011</v>
      </c>
      <c r="N72" s="9">
        <f>ZV</f>
        <v>675</v>
      </c>
      <c r="O72" s="9">
        <f>ZCC*F</f>
        <v>671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</row>
    <row r="73" spans="1:69" s="6" customFormat="1" ht="21">
      <c r="A73" s="9"/>
      <c r="B73" s="9" t="s">
        <v>70</v>
      </c>
      <c r="C73" s="7" t="s">
        <v>12</v>
      </c>
      <c r="D73" s="7" t="s">
        <v>165</v>
      </c>
      <c r="E73" s="7"/>
      <c r="F73" s="10" t="str">
        <f t="shared" si="4"/>
        <v>MB</v>
      </c>
      <c r="G73" s="19">
        <f t="shared" si="5"/>
        <v>35</v>
      </c>
      <c r="H73" s="19">
        <f>CEILING(SUM(LARGE(I73:BH73,{1,2,3,4,5})),1)</f>
        <v>1588</v>
      </c>
      <c r="I73" s="8">
        <f>ZI*F</f>
        <v>275</v>
      </c>
      <c r="J73" s="8">
        <f>ZC*F</f>
        <v>286</v>
      </c>
      <c r="K73" s="8">
        <f>ZAA*F</f>
        <v>308</v>
      </c>
      <c r="L73" s="8">
        <f>ZFF*F</f>
        <v>429.00000000000006</v>
      </c>
      <c r="M73" s="22">
        <f>ZO</f>
        <v>290</v>
      </c>
      <c r="N73" s="8"/>
      <c r="O73" s="8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</row>
    <row r="74" spans="1:69" s="6" customFormat="1" ht="21">
      <c r="A74" s="9"/>
      <c r="B74" s="9"/>
      <c r="C74" s="7"/>
      <c r="D74" s="7"/>
      <c r="E74" s="7"/>
      <c r="F74" s="10" t="b">
        <f t="shared" si="4"/>
        <v>0</v>
      </c>
      <c r="G74" s="19">
        <f t="shared" si="5"/>
        <v>71</v>
      </c>
      <c r="H74" s="19">
        <f>CEILING(SUM(LARGE(I74:BH74,{1,2,3,4,5})),1)</f>
        <v>0</v>
      </c>
      <c r="I74" s="8">
        <v>0</v>
      </c>
      <c r="J74" s="8">
        <v>0</v>
      </c>
      <c r="K74" s="8">
        <v>0</v>
      </c>
      <c r="L74" s="8">
        <v>0</v>
      </c>
      <c r="M74" s="22">
        <v>0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</row>
    <row r="75" spans="1:69" s="6" customFormat="1" ht="21">
      <c r="A75" s="9"/>
      <c r="B75" s="7"/>
      <c r="C75" s="7"/>
      <c r="D75" s="7"/>
      <c r="E75" s="7"/>
      <c r="F75" s="10" t="b">
        <f t="shared" si="4"/>
        <v>0</v>
      </c>
      <c r="G75" s="19">
        <f t="shared" si="5"/>
        <v>71</v>
      </c>
      <c r="H75" s="19">
        <f>CEILING(SUM(LARGE(I75:BH75,{1,2,3,4,5})),1)</f>
        <v>0</v>
      </c>
      <c r="I75" s="8">
        <v>0</v>
      </c>
      <c r="J75" s="8">
        <v>0</v>
      </c>
      <c r="K75" s="8">
        <v>0</v>
      </c>
      <c r="L75" s="8">
        <v>0</v>
      </c>
      <c r="M75" s="22">
        <v>0</v>
      </c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</row>
    <row r="76" spans="1:69" s="6" customFormat="1" ht="21">
      <c r="A76" s="9"/>
      <c r="B76" s="9"/>
      <c r="C76" s="7"/>
      <c r="D76" s="7"/>
      <c r="E76" s="7"/>
      <c r="F76" s="10" t="b">
        <f t="shared" si="4"/>
        <v>0</v>
      </c>
      <c r="G76" s="19">
        <f t="shared" si="5"/>
        <v>71</v>
      </c>
      <c r="H76" s="19">
        <f>CEILING(SUM(LARGE(I76:BH76,{1,2,3,4,5})),1)</f>
        <v>0</v>
      </c>
      <c r="I76" s="8">
        <v>0</v>
      </c>
      <c r="J76" s="8">
        <v>0</v>
      </c>
      <c r="K76" s="8">
        <v>0</v>
      </c>
      <c r="L76" s="8">
        <v>0</v>
      </c>
      <c r="M76" s="22">
        <v>0</v>
      </c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</row>
    <row r="77" spans="1:69" s="6" customFormat="1" ht="21">
      <c r="A77" s="9"/>
      <c r="B77" s="9"/>
      <c r="C77" s="7"/>
      <c r="D77" s="7"/>
      <c r="E77" s="7"/>
      <c r="F77" s="10" t="b">
        <f t="shared" si="4"/>
        <v>0</v>
      </c>
      <c r="G77" s="19">
        <f t="shared" si="5"/>
        <v>71</v>
      </c>
      <c r="H77" s="19">
        <f>CEILING(SUM(LARGE(I77:BH77,{1,2,3,4,5})),1)</f>
        <v>0</v>
      </c>
      <c r="I77" s="8">
        <v>0</v>
      </c>
      <c r="J77" s="8">
        <v>0</v>
      </c>
      <c r="K77" s="8">
        <v>0</v>
      </c>
      <c r="L77" s="8">
        <v>0</v>
      </c>
      <c r="M77" s="22">
        <v>0</v>
      </c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</row>
    <row r="78" spans="1:69" s="6" customFormat="1" ht="21">
      <c r="A78" s="9"/>
      <c r="B78" s="7"/>
      <c r="C78" s="7"/>
      <c r="D78" s="7"/>
      <c r="E78" s="7"/>
      <c r="F78" s="10" t="b">
        <f t="shared" si="4"/>
        <v>0</v>
      </c>
      <c r="G78" s="19">
        <f t="shared" si="5"/>
        <v>71</v>
      </c>
      <c r="H78" s="19">
        <f>CEILING(SUM(LARGE(I78:BH78,{1,2,3,4,5})),1)</f>
        <v>0</v>
      </c>
      <c r="I78" s="8">
        <v>0</v>
      </c>
      <c r="J78" s="8">
        <v>0</v>
      </c>
      <c r="K78" s="8">
        <v>0</v>
      </c>
      <c r="L78" s="8">
        <v>0</v>
      </c>
      <c r="M78" s="22">
        <v>0</v>
      </c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</row>
    <row r="79" spans="1:69" s="6" customFormat="1" ht="21">
      <c r="A79" s="9"/>
      <c r="B79" s="7"/>
      <c r="C79" s="7"/>
      <c r="D79" s="7"/>
      <c r="E79" s="7"/>
      <c r="F79" s="10" t="b">
        <f t="shared" si="4"/>
        <v>0</v>
      </c>
      <c r="G79" s="19">
        <f t="shared" si="5"/>
        <v>71</v>
      </c>
      <c r="H79" s="19">
        <f>CEILING(SUM(LARGE(I79:BH79,{1,2,3,4,5})),1)</f>
        <v>0</v>
      </c>
      <c r="I79" s="8">
        <v>0</v>
      </c>
      <c r="J79" s="8">
        <v>0</v>
      </c>
      <c r="K79" s="8">
        <v>0</v>
      </c>
      <c r="L79" s="8">
        <v>0</v>
      </c>
      <c r="M79" s="22">
        <v>0</v>
      </c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</row>
    <row r="80" spans="1:69" s="6" customFormat="1" ht="21">
      <c r="A80" s="9"/>
      <c r="B80" s="7"/>
      <c r="C80" s="7"/>
      <c r="D80" s="7"/>
      <c r="E80" s="7"/>
      <c r="F80" s="10" t="b">
        <f t="shared" si="4"/>
        <v>0</v>
      </c>
      <c r="G80" s="19">
        <f t="shared" si="5"/>
        <v>71</v>
      </c>
      <c r="H80" s="19">
        <f>CEILING(SUM(LARGE(I80:BH80,{1,2,3,4,5})),1)</f>
        <v>0</v>
      </c>
      <c r="I80" s="8">
        <v>0</v>
      </c>
      <c r="J80" s="8">
        <v>0</v>
      </c>
      <c r="K80" s="8">
        <v>0</v>
      </c>
      <c r="L80" s="8">
        <v>0</v>
      </c>
      <c r="M80" s="22">
        <v>0</v>
      </c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</row>
    <row r="81" spans="1:69" s="6" customFormat="1" ht="21">
      <c r="A81" s="9"/>
      <c r="B81" s="7"/>
      <c r="C81" s="7"/>
      <c r="D81" s="7"/>
      <c r="E81" s="7"/>
      <c r="F81" s="10" t="b">
        <f t="shared" si="4"/>
        <v>0</v>
      </c>
      <c r="G81" s="19">
        <f t="shared" si="5"/>
        <v>71</v>
      </c>
      <c r="H81" s="19">
        <f>CEILING(SUM(LARGE(I81:BH81,{1,2,3,4,5})),1)</f>
        <v>0</v>
      </c>
      <c r="I81" s="8">
        <v>0</v>
      </c>
      <c r="J81" s="8">
        <v>0</v>
      </c>
      <c r="K81" s="8">
        <v>0</v>
      </c>
      <c r="L81" s="8">
        <v>0</v>
      </c>
      <c r="M81" s="22">
        <v>0</v>
      </c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</row>
    <row r="82" spans="1:69" s="6" customFormat="1" ht="21">
      <c r="A82" s="9"/>
      <c r="B82" s="9"/>
      <c r="C82" s="7"/>
      <c r="D82" s="7"/>
      <c r="E82" s="7"/>
      <c r="F82" s="10" t="b">
        <f t="shared" si="4"/>
        <v>0</v>
      </c>
      <c r="G82" s="19">
        <f t="shared" si="5"/>
        <v>71</v>
      </c>
      <c r="H82" s="19">
        <f>CEILING(SUM(LARGE(I82:BH82,{1,2,3,4,5})),1)</f>
        <v>0</v>
      </c>
      <c r="I82" s="8">
        <v>0</v>
      </c>
      <c r="J82" s="8">
        <v>0</v>
      </c>
      <c r="K82" s="8">
        <v>0</v>
      </c>
      <c r="L82" s="8">
        <v>0</v>
      </c>
      <c r="M82" s="22">
        <v>0</v>
      </c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</row>
    <row r="83" spans="1:69" s="6" customFormat="1" ht="21">
      <c r="A83" s="9"/>
      <c r="B83" s="9"/>
      <c r="C83" s="7"/>
      <c r="D83" s="7"/>
      <c r="E83" s="7"/>
      <c r="F83" s="10" t="b">
        <f t="shared" si="4"/>
        <v>0</v>
      </c>
      <c r="G83" s="19">
        <f t="shared" si="5"/>
        <v>71</v>
      </c>
      <c r="H83" s="19">
        <f>CEILING(SUM(LARGE(I83:BH83,{1,2,3,4,5})),1)</f>
        <v>0</v>
      </c>
      <c r="I83" s="8">
        <v>0</v>
      </c>
      <c r="J83" s="8">
        <v>0</v>
      </c>
      <c r="K83" s="8">
        <v>0</v>
      </c>
      <c r="L83" s="8">
        <v>0</v>
      </c>
      <c r="M83" s="22">
        <v>0</v>
      </c>
      <c r="N83" s="35"/>
      <c r="O83" s="35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</row>
    <row r="84" spans="1:69" s="6" customFormat="1" ht="21">
      <c r="A84" s="9"/>
      <c r="B84" s="9"/>
      <c r="C84" s="7"/>
      <c r="D84" s="7"/>
      <c r="E84" s="7"/>
      <c r="F84" s="10" t="b">
        <f t="shared" si="4"/>
        <v>0</v>
      </c>
      <c r="G84" s="19">
        <f t="shared" si="5"/>
        <v>71</v>
      </c>
      <c r="H84" s="19">
        <f>CEILING(SUM(LARGE(I84:BH84,{1,2,3,4,5})),1)</f>
        <v>0</v>
      </c>
      <c r="I84" s="8">
        <v>0</v>
      </c>
      <c r="J84" s="8">
        <v>0</v>
      </c>
      <c r="K84" s="8">
        <v>0</v>
      </c>
      <c r="L84" s="8">
        <v>0</v>
      </c>
      <c r="M84" s="22">
        <v>0</v>
      </c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</row>
    <row r="85" spans="1:69" s="6" customFormat="1" ht="21">
      <c r="A85" s="9"/>
      <c r="B85" s="7"/>
      <c r="C85" s="7"/>
      <c r="D85" s="7"/>
      <c r="E85" s="7"/>
      <c r="F85" s="10" t="b">
        <f t="shared" si="4"/>
        <v>0</v>
      </c>
      <c r="G85" s="19">
        <f t="shared" si="5"/>
        <v>71</v>
      </c>
      <c r="H85" s="19">
        <f>CEILING(SUM(LARGE(I85:BH85,{1,2,3,4,5})),1)</f>
        <v>0</v>
      </c>
      <c r="I85" s="8">
        <v>0</v>
      </c>
      <c r="J85" s="8">
        <v>0</v>
      </c>
      <c r="K85" s="8">
        <v>0</v>
      </c>
      <c r="L85" s="8">
        <v>0</v>
      </c>
      <c r="M85" s="22">
        <v>0</v>
      </c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</row>
    <row r="86" spans="1:69" s="6" customFormat="1" ht="21">
      <c r="A86" s="9"/>
      <c r="B86" s="7"/>
      <c r="C86" s="7"/>
      <c r="D86" s="7"/>
      <c r="E86" s="7"/>
      <c r="F86" s="10" t="b">
        <f t="shared" si="4"/>
        <v>0</v>
      </c>
      <c r="G86" s="19">
        <f t="shared" si="5"/>
        <v>71</v>
      </c>
      <c r="H86" s="19">
        <f>CEILING(SUM(LARGE(I86:BH86,{1,2,3,4,5})),1)</f>
        <v>0</v>
      </c>
      <c r="I86" s="8">
        <v>0</v>
      </c>
      <c r="J86" s="8">
        <v>0</v>
      </c>
      <c r="K86" s="8">
        <v>0</v>
      </c>
      <c r="L86" s="8">
        <v>0</v>
      </c>
      <c r="M86" s="22">
        <v>0</v>
      </c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</row>
    <row r="87" spans="1:69" s="6" customFormat="1" ht="21">
      <c r="A87" s="9"/>
      <c r="B87" s="7"/>
      <c r="C87" s="7"/>
      <c r="D87" s="7"/>
      <c r="E87" s="7"/>
      <c r="F87" s="10" t="b">
        <f t="shared" si="4"/>
        <v>0</v>
      </c>
      <c r="G87" s="19">
        <f t="shared" si="5"/>
        <v>71</v>
      </c>
      <c r="H87" s="19">
        <f>CEILING(SUM(LARGE(I87:BH87,{1,2,3,4,5})),1)</f>
        <v>0</v>
      </c>
      <c r="I87" s="8">
        <v>0</v>
      </c>
      <c r="J87" s="8">
        <v>0</v>
      </c>
      <c r="K87" s="8">
        <v>0</v>
      </c>
      <c r="L87" s="8">
        <v>0</v>
      </c>
      <c r="M87" s="22">
        <v>0</v>
      </c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</row>
    <row r="88" spans="1:69" s="6" customFormat="1" ht="21">
      <c r="A88" s="9"/>
      <c r="B88" s="7"/>
      <c r="C88" s="7"/>
      <c r="D88" s="7"/>
      <c r="E88" s="7"/>
      <c r="F88" s="10" t="b">
        <f t="shared" si="4"/>
        <v>0</v>
      </c>
      <c r="G88" s="19">
        <f t="shared" si="5"/>
        <v>71</v>
      </c>
      <c r="H88" s="19">
        <f>CEILING(SUM(LARGE(I88:BH88,{1,2,3,4,5})),1)</f>
        <v>0</v>
      </c>
      <c r="I88" s="8">
        <v>0</v>
      </c>
      <c r="J88" s="8">
        <v>0</v>
      </c>
      <c r="K88" s="8">
        <v>0</v>
      </c>
      <c r="L88" s="8">
        <v>0</v>
      </c>
      <c r="M88" s="22">
        <v>0</v>
      </c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</row>
    <row r="89" spans="1:69" s="6" customFormat="1" ht="21">
      <c r="A89" s="9"/>
      <c r="B89" s="7"/>
      <c r="C89" s="7"/>
      <c r="D89" s="7"/>
      <c r="E89" s="7"/>
      <c r="F89" s="10" t="b">
        <f t="shared" si="4"/>
        <v>0</v>
      </c>
      <c r="G89" s="19">
        <f t="shared" si="5"/>
        <v>71</v>
      </c>
      <c r="H89" s="19">
        <f>CEILING(SUM(LARGE(I89:BH89,{1,2,3,4,5})),1)</f>
        <v>0</v>
      </c>
      <c r="I89" s="8">
        <v>0</v>
      </c>
      <c r="J89" s="8">
        <v>0</v>
      </c>
      <c r="K89" s="8">
        <v>0</v>
      </c>
      <c r="L89" s="8">
        <v>0</v>
      </c>
      <c r="M89" s="22">
        <v>0</v>
      </c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</row>
    <row r="90" spans="1:69" s="6" customFormat="1" ht="21">
      <c r="A90" s="9"/>
      <c r="B90" s="7"/>
      <c r="C90" s="7"/>
      <c r="D90" s="7"/>
      <c r="E90" s="7"/>
      <c r="F90" s="10" t="b">
        <f t="shared" si="4"/>
        <v>0</v>
      </c>
      <c r="G90" s="19">
        <f t="shared" si="5"/>
        <v>71</v>
      </c>
      <c r="H90" s="19">
        <f>CEILING(SUM(LARGE(I90:BH90,{1,2,3,4,5})),1)</f>
        <v>0</v>
      </c>
      <c r="I90" s="8">
        <v>0</v>
      </c>
      <c r="J90" s="8">
        <v>0</v>
      </c>
      <c r="K90" s="8">
        <v>0</v>
      </c>
      <c r="L90" s="8">
        <v>0</v>
      </c>
      <c r="M90" s="22">
        <v>0</v>
      </c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</row>
    <row r="91" spans="1:69" s="6" customFormat="1" ht="21">
      <c r="A91" s="9"/>
      <c r="B91" s="7"/>
      <c r="C91" s="7"/>
      <c r="D91" s="7"/>
      <c r="E91" s="7"/>
      <c r="F91" s="10" t="b">
        <f t="shared" si="4"/>
        <v>0</v>
      </c>
      <c r="G91" s="19">
        <f t="shared" si="5"/>
        <v>71</v>
      </c>
      <c r="H91" s="19">
        <f>CEILING(SUM(LARGE(I91:BH91,{1,2,3,4,5})),1)</f>
        <v>0</v>
      </c>
      <c r="I91" s="8">
        <v>0</v>
      </c>
      <c r="J91" s="8">
        <v>0</v>
      </c>
      <c r="K91" s="8">
        <v>0</v>
      </c>
      <c r="L91" s="8">
        <v>0</v>
      </c>
      <c r="M91" s="22">
        <v>0</v>
      </c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</row>
    <row r="92" spans="1:69" s="6" customFormat="1" ht="21">
      <c r="A92" s="9"/>
      <c r="B92" s="7"/>
      <c r="C92" s="7"/>
      <c r="D92" s="7"/>
      <c r="E92" s="7"/>
      <c r="F92" s="10" t="b">
        <f t="shared" si="4"/>
        <v>0</v>
      </c>
      <c r="G92" s="19">
        <f t="shared" si="5"/>
        <v>71</v>
      </c>
      <c r="H92" s="19">
        <f>CEILING(SUM(LARGE(I92:BH92,{1,2,3,4,5})),1)</f>
        <v>0</v>
      </c>
      <c r="I92" s="8">
        <v>0</v>
      </c>
      <c r="J92" s="8">
        <v>0</v>
      </c>
      <c r="K92" s="8">
        <v>0</v>
      </c>
      <c r="L92" s="8">
        <v>0</v>
      </c>
      <c r="M92" s="22">
        <v>0</v>
      </c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</row>
    <row r="93" spans="1:69" s="6" customFormat="1" ht="21">
      <c r="A93" s="9"/>
      <c r="B93" s="7"/>
      <c r="C93" s="7"/>
      <c r="D93" s="7"/>
      <c r="E93" s="7"/>
      <c r="F93" s="10" t="b">
        <f t="shared" si="4"/>
        <v>0</v>
      </c>
      <c r="G93" s="19">
        <f t="shared" si="5"/>
        <v>71</v>
      </c>
      <c r="H93" s="19">
        <f>CEILING(SUM(LARGE(I93:BH93,{1,2,3,4,5})),1)</f>
        <v>0</v>
      </c>
      <c r="I93" s="8">
        <v>0</v>
      </c>
      <c r="J93" s="8">
        <v>0</v>
      </c>
      <c r="K93" s="8">
        <v>0</v>
      </c>
      <c r="L93" s="8">
        <v>0</v>
      </c>
      <c r="M93" s="22">
        <v>0</v>
      </c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</row>
    <row r="94" spans="1:69" s="6" customFormat="1" ht="21">
      <c r="A94" s="9"/>
      <c r="B94" s="7"/>
      <c r="C94" s="7"/>
      <c r="D94" s="7"/>
      <c r="E94" s="7"/>
      <c r="F94" s="10" t="b">
        <f t="shared" si="4"/>
        <v>0</v>
      </c>
      <c r="G94" s="19">
        <f t="shared" si="5"/>
        <v>71</v>
      </c>
      <c r="H94" s="19">
        <f>CEILING(SUM(LARGE(I94:BH94,{1,2,3,4,5})),1)</f>
        <v>0</v>
      </c>
      <c r="I94" s="8">
        <v>0</v>
      </c>
      <c r="J94" s="8">
        <v>0</v>
      </c>
      <c r="K94" s="8">
        <v>0</v>
      </c>
      <c r="L94" s="8">
        <v>0</v>
      </c>
      <c r="M94" s="22">
        <v>0</v>
      </c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</row>
    <row r="95" spans="1:69" s="6" customFormat="1" ht="21">
      <c r="A95" s="9"/>
      <c r="B95" s="7"/>
      <c r="C95" s="7"/>
      <c r="D95" s="7"/>
      <c r="E95" s="7"/>
      <c r="F95" s="10" t="b">
        <f t="shared" si="4"/>
        <v>0</v>
      </c>
      <c r="G95" s="19">
        <f t="shared" si="5"/>
        <v>71</v>
      </c>
      <c r="H95" s="19">
        <f>CEILING(SUM(LARGE(I95:BH95,{1,2,3,4,5})),1)</f>
        <v>0</v>
      </c>
      <c r="I95" s="8">
        <v>0</v>
      </c>
      <c r="J95" s="8">
        <v>0</v>
      </c>
      <c r="K95" s="8">
        <v>0</v>
      </c>
      <c r="L95" s="8">
        <v>0</v>
      </c>
      <c r="M95" s="22">
        <v>0</v>
      </c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</row>
    <row r="96" spans="1:69" s="6" customFormat="1" ht="21">
      <c r="A96" s="9"/>
      <c r="B96" s="7"/>
      <c r="C96" s="7"/>
      <c r="D96" s="7"/>
      <c r="E96" s="7"/>
      <c r="F96" s="10" t="b">
        <f t="shared" si="4"/>
        <v>0</v>
      </c>
      <c r="G96" s="19">
        <f t="shared" si="5"/>
        <v>71</v>
      </c>
      <c r="H96" s="19">
        <f>CEILING(SUM(LARGE(I96:BH96,{1,2,3,4,5})),1)</f>
        <v>0</v>
      </c>
      <c r="I96" s="8">
        <v>0</v>
      </c>
      <c r="J96" s="8">
        <v>0</v>
      </c>
      <c r="K96" s="8">
        <v>0</v>
      </c>
      <c r="L96" s="8">
        <v>0</v>
      </c>
      <c r="M96" s="22">
        <v>0</v>
      </c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</row>
    <row r="97" spans="1:69" s="6" customFormat="1" ht="21">
      <c r="A97" s="9"/>
      <c r="B97" s="7"/>
      <c r="C97" s="7"/>
      <c r="D97" s="7"/>
      <c r="E97" s="7"/>
      <c r="F97" s="10" t="b">
        <f t="shared" si="4"/>
        <v>0</v>
      </c>
      <c r="G97" s="19">
        <f t="shared" si="5"/>
        <v>71</v>
      </c>
      <c r="H97" s="19">
        <f>CEILING(SUM(LARGE(I97:BH97,{1,2,3,4,5})),1)</f>
        <v>0</v>
      </c>
      <c r="I97" s="8">
        <v>0</v>
      </c>
      <c r="J97" s="8">
        <v>0</v>
      </c>
      <c r="K97" s="8">
        <v>0</v>
      </c>
      <c r="L97" s="8">
        <v>0</v>
      </c>
      <c r="M97" s="22">
        <v>0</v>
      </c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</row>
    <row r="98" spans="1:69" s="6" customFormat="1" ht="21">
      <c r="A98" s="9"/>
      <c r="B98" s="7"/>
      <c r="C98" s="7"/>
      <c r="D98" s="7"/>
      <c r="E98" s="7"/>
      <c r="F98" s="10" t="b">
        <f t="shared" si="4"/>
        <v>0</v>
      </c>
      <c r="G98" s="19">
        <f t="shared" si="5"/>
        <v>71</v>
      </c>
      <c r="H98" s="19">
        <f>CEILING(SUM(LARGE(I98:BH98,{1,2,3,4,5})),1)</f>
        <v>0</v>
      </c>
      <c r="I98" s="8">
        <v>0</v>
      </c>
      <c r="J98" s="8">
        <v>0</v>
      </c>
      <c r="K98" s="8">
        <v>0</v>
      </c>
      <c r="L98" s="8">
        <v>0</v>
      </c>
      <c r="M98" s="22">
        <v>0</v>
      </c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</row>
    <row r="99" spans="1:69" s="6" customFormat="1" ht="21">
      <c r="A99" s="9"/>
      <c r="B99" s="7"/>
      <c r="C99" s="7"/>
      <c r="D99" s="7"/>
      <c r="E99" s="7"/>
      <c r="F99" s="10" t="b">
        <f t="shared" si="4"/>
        <v>0</v>
      </c>
      <c r="G99" s="19">
        <f t="shared" si="5"/>
        <v>71</v>
      </c>
      <c r="H99" s="19">
        <f>CEILING(SUM(LARGE(I99:BH99,{1,2,3,4,5})),1)</f>
        <v>0</v>
      </c>
      <c r="I99" s="8">
        <v>0</v>
      </c>
      <c r="J99" s="8">
        <v>0</v>
      </c>
      <c r="K99" s="8">
        <v>0</v>
      </c>
      <c r="L99" s="8">
        <v>0</v>
      </c>
      <c r="M99" s="22">
        <v>0</v>
      </c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</row>
    <row r="100" spans="1:69" s="6" customFormat="1" ht="21">
      <c r="A100" s="9"/>
      <c r="B100" s="7"/>
      <c r="C100" s="7"/>
      <c r="D100" s="7"/>
      <c r="E100" s="7"/>
      <c r="F100" s="10" t="b">
        <f t="shared" si="4"/>
        <v>0</v>
      </c>
      <c r="G100" s="19">
        <f t="shared" ref="G100:G131" si="6">RANK(H100,$H$4:$H$100,0)</f>
        <v>71</v>
      </c>
      <c r="H100" s="19">
        <f>CEILING(SUM(LARGE(I100:BH100,{1,2,3,4,5})),1)</f>
        <v>0</v>
      </c>
      <c r="I100" s="8">
        <v>0</v>
      </c>
      <c r="J100" s="8">
        <v>0</v>
      </c>
      <c r="K100" s="8">
        <v>0</v>
      </c>
      <c r="L100" s="8">
        <v>0</v>
      </c>
      <c r="M100" s="22">
        <v>0</v>
      </c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</row>
  </sheetData>
  <autoFilter ref="D3:D100">
    <sortState ref="A4:R100">
      <sortCondition ref="D3:D100"/>
    </sortState>
  </autoFilter>
  <mergeCells count="2">
    <mergeCell ref="I3:M3"/>
    <mergeCell ref="A2:M2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2:N28"/>
  <sheetViews>
    <sheetView zoomScaleNormal="100" workbookViewId="0">
      <selection activeCell="J23" sqref="J23"/>
    </sheetView>
  </sheetViews>
  <sheetFormatPr defaultRowHeight="15"/>
  <cols>
    <col min="2" max="2" width="11.7109375" customWidth="1"/>
    <col min="3" max="3" width="12" customWidth="1"/>
    <col min="4" max="4" width="7.28515625" customWidth="1"/>
    <col min="5" max="5" width="11.42578125" customWidth="1"/>
    <col min="6" max="6" width="11.85546875" customWidth="1"/>
    <col min="7" max="7" width="6.5703125" customWidth="1"/>
    <col min="9" max="9" width="12.7109375" customWidth="1"/>
    <col min="10" max="10" width="11" customWidth="1"/>
    <col min="13" max="13" width="35" customWidth="1"/>
  </cols>
  <sheetData>
    <row r="2" spans="2:14">
      <c r="B2" s="28" t="s">
        <v>56</v>
      </c>
      <c r="C2" s="28" t="s">
        <v>57</v>
      </c>
      <c r="D2" s="28" t="s">
        <v>58</v>
      </c>
      <c r="E2" s="28" t="s">
        <v>56</v>
      </c>
      <c r="F2" s="28" t="s">
        <v>57</v>
      </c>
      <c r="G2" s="28" t="s">
        <v>58</v>
      </c>
      <c r="I2" s="2" t="s">
        <v>59</v>
      </c>
      <c r="J2" s="4">
        <v>1.1000000000000001</v>
      </c>
      <c r="K2" s="5">
        <f>F-1</f>
        <v>0.10000000000000009</v>
      </c>
      <c r="M2" s="3" t="s">
        <v>60</v>
      </c>
      <c r="N2" s="3" t="s">
        <v>68</v>
      </c>
    </row>
    <row r="3" spans="2:14">
      <c r="B3" s="1" t="s">
        <v>0</v>
      </c>
      <c r="C3" s="29">
        <v>490</v>
      </c>
      <c r="D3" s="29" t="s">
        <v>109</v>
      </c>
      <c r="E3" s="1" t="s">
        <v>26</v>
      </c>
      <c r="F3" s="31">
        <v>280</v>
      </c>
      <c r="G3" s="31" t="s">
        <v>107</v>
      </c>
      <c r="M3" s="33" t="s">
        <v>62</v>
      </c>
      <c r="N3" s="33" t="s">
        <v>70</v>
      </c>
    </row>
    <row r="4" spans="2:14">
      <c r="B4" s="1" t="s">
        <v>1</v>
      </c>
      <c r="C4" s="29">
        <v>50</v>
      </c>
      <c r="D4" s="29" t="s">
        <v>105</v>
      </c>
      <c r="E4" s="1" t="s">
        <v>27</v>
      </c>
      <c r="F4" s="31">
        <v>599</v>
      </c>
      <c r="G4" s="31" t="s">
        <v>110</v>
      </c>
      <c r="I4" s="28" t="s">
        <v>75</v>
      </c>
      <c r="J4" s="3" t="s">
        <v>82</v>
      </c>
      <c r="M4" s="33" t="s">
        <v>63</v>
      </c>
      <c r="N4" s="33" t="s">
        <v>83</v>
      </c>
    </row>
    <row r="5" spans="2:14">
      <c r="B5" s="1" t="s">
        <v>2</v>
      </c>
      <c r="C5" s="30">
        <v>260</v>
      </c>
      <c r="D5" s="30" t="s">
        <v>107</v>
      </c>
      <c r="E5" s="1" t="s">
        <v>28</v>
      </c>
      <c r="F5" s="31">
        <v>610</v>
      </c>
      <c r="G5" s="31" t="s">
        <v>111</v>
      </c>
      <c r="I5" s="4" t="s">
        <v>76</v>
      </c>
      <c r="J5" s="32"/>
      <c r="K5" s="6" t="s">
        <v>104</v>
      </c>
      <c r="M5" s="33" t="s">
        <v>64</v>
      </c>
      <c r="N5" s="33" t="s">
        <v>89</v>
      </c>
    </row>
    <row r="6" spans="2:14">
      <c r="B6" s="1" t="s">
        <v>3</v>
      </c>
      <c r="C6" s="29">
        <v>270</v>
      </c>
      <c r="D6" s="30" t="s">
        <v>107</v>
      </c>
      <c r="E6" s="1" t="s">
        <v>29</v>
      </c>
      <c r="F6" s="31">
        <v>400</v>
      </c>
      <c r="G6" s="31" t="s">
        <v>109</v>
      </c>
      <c r="I6" s="4" t="s">
        <v>77</v>
      </c>
      <c r="J6" s="32">
        <v>2750</v>
      </c>
      <c r="K6" s="6" t="s">
        <v>103</v>
      </c>
      <c r="M6" s="33" t="s">
        <v>65</v>
      </c>
      <c r="N6" s="33" t="s">
        <v>71</v>
      </c>
    </row>
    <row r="7" spans="2:14">
      <c r="B7" s="1" t="s">
        <v>4</v>
      </c>
      <c r="C7" s="29">
        <v>350</v>
      </c>
      <c r="D7" s="30" t="s">
        <v>108</v>
      </c>
      <c r="E7" s="1" t="s">
        <v>30</v>
      </c>
      <c r="F7" s="31">
        <v>480</v>
      </c>
      <c r="G7" s="39" t="s">
        <v>109</v>
      </c>
      <c r="I7" s="4" t="s">
        <v>78</v>
      </c>
      <c r="J7" s="32">
        <v>1900</v>
      </c>
      <c r="K7" s="6" t="s">
        <v>102</v>
      </c>
      <c r="M7" s="33" t="s">
        <v>66</v>
      </c>
      <c r="N7" s="33" t="s">
        <v>72</v>
      </c>
    </row>
    <row r="8" spans="2:14">
      <c r="B8" s="1" t="s">
        <v>5</v>
      </c>
      <c r="C8" s="29">
        <v>425</v>
      </c>
      <c r="D8" s="30" t="s">
        <v>109</v>
      </c>
      <c r="E8" s="1" t="s">
        <v>31</v>
      </c>
      <c r="F8" s="31">
        <v>390</v>
      </c>
      <c r="G8" s="39" t="s">
        <v>108</v>
      </c>
      <c r="I8" s="4" t="s">
        <v>79</v>
      </c>
      <c r="J8" s="32"/>
      <c r="K8" s="6" t="s">
        <v>101</v>
      </c>
      <c r="M8" s="33" t="s">
        <v>67</v>
      </c>
      <c r="N8" s="33" t="s">
        <v>61</v>
      </c>
    </row>
    <row r="9" spans="2:14">
      <c r="B9" s="1" t="s">
        <v>6</v>
      </c>
      <c r="C9" s="29">
        <v>175</v>
      </c>
      <c r="D9" s="30" t="s">
        <v>106</v>
      </c>
      <c r="E9" s="1" t="s">
        <v>32</v>
      </c>
      <c r="F9" s="31">
        <v>540</v>
      </c>
      <c r="G9" s="39" t="s">
        <v>110</v>
      </c>
      <c r="I9" s="4" t="s">
        <v>80</v>
      </c>
      <c r="J9" s="32">
        <v>1650</v>
      </c>
      <c r="K9" s="6" t="s">
        <v>100</v>
      </c>
      <c r="M9" s="34" t="s">
        <v>69</v>
      </c>
      <c r="N9" s="33" t="s">
        <v>73</v>
      </c>
    </row>
    <row r="10" spans="2:14">
      <c r="B10" s="1" t="s">
        <v>7</v>
      </c>
      <c r="C10" s="29">
        <v>125</v>
      </c>
      <c r="D10" s="30" t="s">
        <v>106</v>
      </c>
      <c r="E10" s="1" t="s">
        <v>33</v>
      </c>
      <c r="F10" s="31">
        <v>190</v>
      </c>
      <c r="G10" s="39" t="s">
        <v>106</v>
      </c>
      <c r="I10" s="4" t="s">
        <v>81</v>
      </c>
      <c r="J10" s="32">
        <v>1400</v>
      </c>
      <c r="K10" s="6" t="s">
        <v>99</v>
      </c>
      <c r="M10" s="33" t="s">
        <v>97</v>
      </c>
      <c r="N10" s="33" t="s">
        <v>98</v>
      </c>
    </row>
    <row r="11" spans="2:14">
      <c r="B11" s="1" t="s">
        <v>8</v>
      </c>
      <c r="C11" s="29">
        <v>250</v>
      </c>
      <c r="D11" s="30" t="s">
        <v>107</v>
      </c>
      <c r="E11" s="1" t="s">
        <v>34</v>
      </c>
      <c r="F11" s="31">
        <v>740</v>
      </c>
      <c r="G11" s="39" t="s">
        <v>113</v>
      </c>
      <c r="M11" s="33"/>
      <c r="N11" s="33"/>
    </row>
    <row r="12" spans="2:14">
      <c r="B12" s="1" t="s">
        <v>9</v>
      </c>
      <c r="C12" s="29">
        <v>590</v>
      </c>
      <c r="D12" s="30" t="s">
        <v>110</v>
      </c>
      <c r="E12" s="1" t="s">
        <v>35</v>
      </c>
      <c r="F12" s="31">
        <v>340</v>
      </c>
      <c r="G12" s="39" t="s">
        <v>108</v>
      </c>
      <c r="I12" s="49" t="s">
        <v>84</v>
      </c>
      <c r="J12" s="49"/>
      <c r="M12" s="33"/>
      <c r="N12" s="33"/>
    </row>
    <row r="13" spans="2:14">
      <c r="B13" s="1" t="s">
        <v>10</v>
      </c>
      <c r="C13" s="29">
        <v>760</v>
      </c>
      <c r="D13" s="30" t="s">
        <v>113</v>
      </c>
      <c r="E13" s="1" t="s">
        <v>36</v>
      </c>
      <c r="F13" s="31"/>
      <c r="G13" s="31"/>
      <c r="I13" s="2" t="s">
        <v>85</v>
      </c>
      <c r="J13" s="4" t="s">
        <v>12</v>
      </c>
      <c r="M13" s="33"/>
      <c r="N13" s="33"/>
    </row>
    <row r="14" spans="2:14">
      <c r="B14" s="1" t="s">
        <v>11</v>
      </c>
      <c r="C14" s="29">
        <v>450</v>
      </c>
      <c r="D14" s="30" t="s">
        <v>109</v>
      </c>
      <c r="E14" s="1" t="s">
        <v>37</v>
      </c>
      <c r="F14" s="31"/>
      <c r="G14" s="31"/>
      <c r="I14" s="2" t="s">
        <v>86</v>
      </c>
      <c r="J14" s="4" t="s">
        <v>22</v>
      </c>
      <c r="M14" s="33"/>
      <c r="N14" s="33"/>
    </row>
    <row r="15" spans="2:14">
      <c r="B15" s="1" t="s">
        <v>12</v>
      </c>
      <c r="C15" s="29">
        <v>699</v>
      </c>
      <c r="D15" s="30" t="s">
        <v>111</v>
      </c>
      <c r="E15" s="1" t="s">
        <v>38</v>
      </c>
      <c r="F15" s="31"/>
      <c r="G15" s="31"/>
      <c r="M15" s="33"/>
      <c r="N15" s="33"/>
    </row>
    <row r="16" spans="2:14">
      <c r="B16" s="1" t="s">
        <v>13</v>
      </c>
      <c r="C16" s="29">
        <v>475</v>
      </c>
      <c r="D16" s="30" t="s">
        <v>109</v>
      </c>
      <c r="E16" s="1" t="s">
        <v>39</v>
      </c>
      <c r="F16" s="31"/>
      <c r="G16" s="31"/>
      <c r="I16" s="16"/>
      <c r="J16" s="16"/>
    </row>
    <row r="17" spans="2:10">
      <c r="B17" s="1" t="s">
        <v>14</v>
      </c>
      <c r="C17" s="29">
        <v>290</v>
      </c>
      <c r="D17" s="30" t="s">
        <v>107</v>
      </c>
      <c r="E17" s="1" t="s">
        <v>40</v>
      </c>
      <c r="F17" s="31"/>
      <c r="G17" s="31"/>
      <c r="I17" s="17"/>
      <c r="J17" s="17"/>
    </row>
    <row r="18" spans="2:10">
      <c r="B18" s="1" t="s">
        <v>15</v>
      </c>
      <c r="C18" s="29">
        <v>550</v>
      </c>
      <c r="D18" s="30" t="s">
        <v>110</v>
      </c>
      <c r="E18" s="1" t="s">
        <v>41</v>
      </c>
      <c r="F18" s="31"/>
      <c r="G18" s="31"/>
      <c r="I18" s="17"/>
      <c r="J18" s="17"/>
    </row>
    <row r="19" spans="2:10">
      <c r="B19" s="1" t="s">
        <v>16</v>
      </c>
      <c r="C19" s="29">
        <v>369</v>
      </c>
      <c r="D19" s="30" t="s">
        <v>108</v>
      </c>
      <c r="E19" s="1" t="s">
        <v>42</v>
      </c>
      <c r="F19" s="31"/>
      <c r="G19" s="31"/>
    </row>
    <row r="20" spans="2:10">
      <c r="B20" s="1" t="s">
        <v>17</v>
      </c>
      <c r="C20" s="30">
        <v>800</v>
      </c>
      <c r="D20" s="30" t="s">
        <v>112</v>
      </c>
      <c r="E20" s="1" t="s">
        <v>43</v>
      </c>
      <c r="F20" s="31"/>
      <c r="G20" s="31"/>
    </row>
    <row r="21" spans="2:10">
      <c r="B21" s="1" t="s">
        <v>18</v>
      </c>
      <c r="C21" s="29">
        <v>75</v>
      </c>
      <c r="D21" s="30" t="s">
        <v>105</v>
      </c>
      <c r="E21" s="1" t="s">
        <v>44</v>
      </c>
      <c r="F21" s="31"/>
      <c r="G21" s="31"/>
    </row>
    <row r="22" spans="2:10">
      <c r="B22" s="1" t="s">
        <v>19</v>
      </c>
      <c r="C22" s="29">
        <v>650</v>
      </c>
      <c r="D22" s="30" t="s">
        <v>111</v>
      </c>
      <c r="E22" s="1" t="s">
        <v>45</v>
      </c>
      <c r="F22" s="31"/>
      <c r="G22" s="31"/>
    </row>
    <row r="23" spans="2:10">
      <c r="B23" s="1" t="s">
        <v>20</v>
      </c>
      <c r="C23" s="29">
        <v>150</v>
      </c>
      <c r="D23" s="30" t="s">
        <v>106</v>
      </c>
      <c r="E23" s="1" t="s">
        <v>46</v>
      </c>
      <c r="F23" s="31"/>
      <c r="G23" s="31"/>
    </row>
    <row r="24" spans="2:10">
      <c r="B24" s="1" t="s">
        <v>21</v>
      </c>
      <c r="C24" s="29">
        <v>675</v>
      </c>
      <c r="D24" s="30" t="s">
        <v>111</v>
      </c>
      <c r="E24" s="1" t="s">
        <v>47</v>
      </c>
      <c r="F24" s="31"/>
      <c r="G24" s="31"/>
    </row>
    <row r="25" spans="2:10">
      <c r="B25" s="1" t="s">
        <v>22</v>
      </c>
      <c r="C25" s="29">
        <v>330</v>
      </c>
      <c r="D25" s="30" t="s">
        <v>108</v>
      </c>
      <c r="E25" s="1" t="s">
        <v>48</v>
      </c>
      <c r="F25" s="31"/>
      <c r="G25" s="31"/>
    </row>
    <row r="26" spans="2:10">
      <c r="B26" s="1" t="s">
        <v>23</v>
      </c>
      <c r="C26" s="29">
        <v>570</v>
      </c>
      <c r="D26" s="30" t="s">
        <v>110</v>
      </c>
      <c r="E26" s="1" t="s">
        <v>49</v>
      </c>
      <c r="F26" s="31"/>
      <c r="G26" s="31"/>
    </row>
    <row r="27" spans="2:10">
      <c r="B27" s="1" t="s">
        <v>24</v>
      </c>
      <c r="C27" s="29">
        <v>380</v>
      </c>
      <c r="D27" s="30" t="s">
        <v>108</v>
      </c>
      <c r="E27" s="1" t="s">
        <v>50</v>
      </c>
      <c r="F27" s="31"/>
      <c r="G27" s="31"/>
    </row>
    <row r="28" spans="2:10">
      <c r="B28" s="1" t="s">
        <v>25</v>
      </c>
      <c r="C28" s="29">
        <v>85</v>
      </c>
      <c r="D28" s="30" t="s">
        <v>105</v>
      </c>
      <c r="E28" s="1" t="s">
        <v>51</v>
      </c>
      <c r="F28" s="31"/>
      <c r="G28" s="31"/>
    </row>
  </sheetData>
  <mergeCells count="1">
    <mergeCell ref="I12:J1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2:N98"/>
  <sheetViews>
    <sheetView tabSelected="1" topLeftCell="A10" zoomScale="60" zoomScaleNormal="60" workbookViewId="0">
      <selection activeCell="J22" sqref="J22"/>
    </sheetView>
  </sheetViews>
  <sheetFormatPr defaultRowHeight="21"/>
  <cols>
    <col min="1" max="1" width="9.140625" style="24"/>
    <col min="2" max="2" width="25.5703125" style="24" customWidth="1"/>
    <col min="3" max="3" width="18" style="24" bestFit="1" customWidth="1"/>
    <col min="4" max="4" width="11.28515625" style="24" customWidth="1"/>
    <col min="5" max="5" width="15.28515625" style="24" customWidth="1"/>
    <col min="6" max="6" width="9.140625" style="24"/>
    <col min="7" max="7" width="16.140625" style="24" customWidth="1"/>
    <col min="8" max="8" width="11.7109375" style="24" customWidth="1"/>
    <col min="9" max="9" width="17.140625" style="24" customWidth="1"/>
    <col min="10" max="10" width="22.7109375" style="24" customWidth="1"/>
    <col min="11" max="11" width="16" style="24" customWidth="1"/>
    <col min="12" max="12" width="10.42578125" style="24" customWidth="1"/>
    <col min="13" max="13" width="11.85546875" style="24" customWidth="1"/>
    <col min="14" max="14" width="23.140625" style="24" customWidth="1"/>
    <col min="15" max="16384" width="9.140625" style="24"/>
  </cols>
  <sheetData>
    <row r="2" spans="1:13">
      <c r="A2" s="23"/>
      <c r="B2" s="13" t="s">
        <v>90</v>
      </c>
      <c r="C2" t="s">
        <v>96</v>
      </c>
      <c r="D2" s="23"/>
      <c r="E2" s="23"/>
      <c r="F2" s="23"/>
      <c r="G2" s="23"/>
      <c r="H2" s="23"/>
    </row>
    <row r="3" spans="1:13">
      <c r="A3" s="23"/>
      <c r="B3" s="13" t="s">
        <v>93</v>
      </c>
      <c r="C3" t="s">
        <v>96</v>
      </c>
      <c r="D3" s="25"/>
      <c r="E3" s="26"/>
      <c r="F3" s="26"/>
      <c r="G3" s="26"/>
      <c r="H3" s="23"/>
    </row>
    <row r="4" spans="1:13">
      <c r="A4" s="23"/>
      <c r="B4" s="13" t="s">
        <v>52</v>
      </c>
      <c r="C4" t="s">
        <v>96</v>
      </c>
      <c r="D4" s="27"/>
      <c r="E4" s="23"/>
      <c r="F4" s="23"/>
      <c r="G4" s="23"/>
      <c r="H4" s="23"/>
    </row>
    <row r="5" spans="1:13">
      <c r="A5" s="23"/>
      <c r="B5" s="23"/>
      <c r="C5" s="23"/>
      <c r="D5" s="23"/>
      <c r="E5" s="23"/>
      <c r="F5" s="23"/>
      <c r="G5" s="23"/>
      <c r="H5" s="23"/>
    </row>
    <row r="6" spans="1:13">
      <c r="A6" s="23"/>
      <c r="B6" s="13" t="s">
        <v>91</v>
      </c>
      <c r="C6" t="s">
        <v>94</v>
      </c>
      <c r="D6"/>
      <c r="E6" s="23"/>
      <c r="F6" s="23"/>
      <c r="G6" s="23"/>
      <c r="H6" s="23"/>
    </row>
    <row r="7" spans="1:13">
      <c r="A7" s="23"/>
      <c r="B7" s="14" t="s">
        <v>78</v>
      </c>
      <c r="C7" s="15">
        <v>36692</v>
      </c>
      <c r="D7"/>
      <c r="E7" s="23"/>
      <c r="F7" s="23"/>
      <c r="G7" s="23"/>
      <c r="H7" s="23"/>
    </row>
    <row r="8" spans="1:13">
      <c r="A8" s="23" t="s">
        <v>70</v>
      </c>
      <c r="B8" s="37" t="s">
        <v>122</v>
      </c>
      <c r="C8" s="38">
        <v>1875</v>
      </c>
      <c r="D8">
        <v>100</v>
      </c>
      <c r="E8" s="23"/>
      <c r="F8" s="23"/>
      <c r="G8" s="23"/>
      <c r="H8" s="23"/>
    </row>
    <row r="9" spans="1:13">
      <c r="A9" s="23" t="s">
        <v>71</v>
      </c>
      <c r="B9" s="37" t="s">
        <v>182</v>
      </c>
      <c r="C9" s="38">
        <v>1719</v>
      </c>
      <c r="D9">
        <v>60</v>
      </c>
      <c r="E9" s="23"/>
      <c r="F9" s="23"/>
      <c r="G9" s="23"/>
      <c r="H9" s="23"/>
    </row>
    <row r="10" spans="1:13">
      <c r="A10" s="23" t="s">
        <v>70</v>
      </c>
      <c r="B10" s="37" t="s">
        <v>121</v>
      </c>
      <c r="C10" s="38">
        <v>1672</v>
      </c>
      <c r="D10">
        <v>40</v>
      </c>
      <c r="E10" s="23"/>
      <c r="F10" s="23"/>
      <c r="G10" s="23"/>
      <c r="H10" s="23"/>
      <c r="J10" s="50" t="s">
        <v>202</v>
      </c>
      <c r="K10" s="50"/>
      <c r="L10" s="27"/>
      <c r="M10" s="27"/>
    </row>
    <row r="11" spans="1:13">
      <c r="A11" s="23" t="s">
        <v>70</v>
      </c>
      <c r="B11" s="18" t="s">
        <v>131</v>
      </c>
      <c r="C11" s="15">
        <v>1660</v>
      </c>
      <c r="D11">
        <v>30</v>
      </c>
      <c r="E11" s="23"/>
      <c r="F11" s="23"/>
      <c r="I11" s="2"/>
      <c r="J11" s="40" t="s">
        <v>201</v>
      </c>
      <c r="K11" s="44" t="s">
        <v>200</v>
      </c>
      <c r="L11" s="42"/>
      <c r="M11" s="42"/>
    </row>
    <row r="12" spans="1:13">
      <c r="A12" s="23" t="s">
        <v>70</v>
      </c>
      <c r="B12" s="18" t="s">
        <v>117</v>
      </c>
      <c r="C12" s="15">
        <v>1655</v>
      </c>
      <c r="D12">
        <v>20</v>
      </c>
      <c r="E12" s="23"/>
      <c r="F12" s="23"/>
      <c r="I12" s="2" t="s">
        <v>199</v>
      </c>
      <c r="J12" s="41" t="s">
        <v>140</v>
      </c>
      <c r="K12" s="45" t="s">
        <v>169</v>
      </c>
      <c r="L12" s="43"/>
      <c r="M12" s="43"/>
    </row>
    <row r="13" spans="1:13">
      <c r="A13" s="23" t="s">
        <v>194</v>
      </c>
      <c r="B13" s="18" t="s">
        <v>148</v>
      </c>
      <c r="C13" s="15">
        <v>1629</v>
      </c>
      <c r="D13">
        <v>10</v>
      </c>
      <c r="E13" s="23"/>
      <c r="F13" s="23"/>
      <c r="I13" s="2" t="s">
        <v>198</v>
      </c>
      <c r="J13" s="41" t="s">
        <v>180</v>
      </c>
      <c r="K13" s="45" t="s">
        <v>184</v>
      </c>
      <c r="L13" s="43"/>
      <c r="M13" s="43"/>
    </row>
    <row r="14" spans="1:13">
      <c r="A14" s="23" t="s">
        <v>70</v>
      </c>
      <c r="B14" s="18" t="s">
        <v>116</v>
      </c>
      <c r="C14" s="15">
        <v>1620</v>
      </c>
      <c r="D14">
        <v>6</v>
      </c>
      <c r="E14" s="23"/>
      <c r="F14" s="23"/>
      <c r="I14" s="2" t="s">
        <v>197</v>
      </c>
      <c r="J14" s="41" t="s">
        <v>185</v>
      </c>
      <c r="K14" s="45" t="s">
        <v>134</v>
      </c>
      <c r="L14" s="43"/>
      <c r="M14" s="43"/>
    </row>
    <row r="15" spans="1:13">
      <c r="A15" s="23" t="s">
        <v>70</v>
      </c>
      <c r="B15" s="18" t="s">
        <v>165</v>
      </c>
      <c r="C15" s="15">
        <v>1588</v>
      </c>
      <c r="D15">
        <v>4</v>
      </c>
      <c r="E15" s="23"/>
      <c r="F15" s="23"/>
      <c r="I15" s="2" t="s">
        <v>196</v>
      </c>
      <c r="J15" s="41" t="s">
        <v>189</v>
      </c>
      <c r="K15" s="45" t="s">
        <v>143</v>
      </c>
      <c r="L15" s="43"/>
      <c r="M15" s="43"/>
    </row>
    <row r="16" spans="1:13">
      <c r="A16" s="23" t="s">
        <v>70</v>
      </c>
      <c r="B16" s="18" t="s">
        <v>119</v>
      </c>
      <c r="C16" s="15">
        <v>1573</v>
      </c>
      <c r="D16">
        <v>3</v>
      </c>
      <c r="E16" s="23"/>
      <c r="F16" s="23"/>
      <c r="I16" s="2" t="s">
        <v>195</v>
      </c>
      <c r="J16" s="41" t="s">
        <v>168</v>
      </c>
      <c r="K16" s="45" t="s">
        <v>190</v>
      </c>
      <c r="L16" s="43"/>
      <c r="M16" s="43"/>
    </row>
    <row r="17" spans="1:14">
      <c r="A17" s="23" t="s">
        <v>71</v>
      </c>
      <c r="B17" s="18" t="s">
        <v>159</v>
      </c>
      <c r="C17" s="15">
        <v>1542</v>
      </c>
      <c r="D17">
        <v>2</v>
      </c>
      <c r="E17" s="23"/>
      <c r="F17" s="23"/>
      <c r="G17" s="23"/>
      <c r="H17" s="23"/>
    </row>
    <row r="18" spans="1:14">
      <c r="A18" s="23" t="s">
        <v>170</v>
      </c>
      <c r="B18" s="18" t="s">
        <v>163</v>
      </c>
      <c r="C18" s="15">
        <v>1447</v>
      </c>
      <c r="D18">
        <v>1</v>
      </c>
      <c r="E18" s="23"/>
      <c r="F18" s="23"/>
      <c r="G18" s="23"/>
      <c r="H18" s="51" t="s">
        <v>74</v>
      </c>
      <c r="I18" s="51" t="s">
        <v>206</v>
      </c>
      <c r="J18" s="51" t="s">
        <v>203</v>
      </c>
      <c r="K18" s="51" t="s">
        <v>193</v>
      </c>
      <c r="L18" s="51" t="s">
        <v>204</v>
      </c>
      <c r="M18" s="51" t="s">
        <v>208</v>
      </c>
      <c r="N18" s="51" t="s">
        <v>205</v>
      </c>
    </row>
    <row r="19" spans="1:14">
      <c r="A19" s="23" t="s">
        <v>70</v>
      </c>
      <c r="B19" s="18" t="s">
        <v>138</v>
      </c>
      <c r="C19" s="15">
        <v>1402</v>
      </c>
      <c r="D19">
        <v>1</v>
      </c>
      <c r="E19" s="23"/>
      <c r="F19" s="23"/>
      <c r="G19" s="23"/>
      <c r="H19" s="51" t="s">
        <v>79</v>
      </c>
      <c r="I19" s="51">
        <v>0</v>
      </c>
      <c r="J19" s="51">
        <f>D66+D68</f>
        <v>70</v>
      </c>
      <c r="K19" s="51">
        <v>0</v>
      </c>
      <c r="L19" s="51">
        <f>D69</f>
        <v>20</v>
      </c>
      <c r="M19" s="51">
        <f>D64+D67</f>
        <v>160</v>
      </c>
      <c r="N19" s="51" t="s">
        <v>208</v>
      </c>
    </row>
    <row r="20" spans="1:14">
      <c r="A20" s="24" t="s">
        <v>170</v>
      </c>
      <c r="B20" s="18" t="s">
        <v>155</v>
      </c>
      <c r="C20" s="15">
        <v>1361</v>
      </c>
      <c r="D20">
        <v>1</v>
      </c>
      <c r="H20" s="51" t="s">
        <v>80</v>
      </c>
      <c r="I20" s="51">
        <v>0</v>
      </c>
      <c r="J20" s="51">
        <f>D65+D81+D82</f>
        <v>200</v>
      </c>
      <c r="K20" s="51">
        <v>0</v>
      </c>
      <c r="L20" s="51">
        <v>0</v>
      </c>
      <c r="M20" s="51">
        <v>0</v>
      </c>
      <c r="N20" s="51" t="s">
        <v>207</v>
      </c>
    </row>
    <row r="21" spans="1:14">
      <c r="A21" s="24" t="s">
        <v>170</v>
      </c>
      <c r="B21" s="18" t="s">
        <v>164</v>
      </c>
      <c r="C21" s="15">
        <v>1216</v>
      </c>
      <c r="D21">
        <v>1</v>
      </c>
      <c r="H21" s="51" t="s">
        <v>81</v>
      </c>
      <c r="I21" s="51">
        <v>0</v>
      </c>
      <c r="J21" s="51">
        <f>D73+D75+D76+D77+D78+D79</f>
        <v>55</v>
      </c>
      <c r="K21" s="51">
        <v>0</v>
      </c>
      <c r="L21" s="51">
        <f>D71+D72</f>
        <v>100</v>
      </c>
      <c r="M21" s="51">
        <f>D74</f>
        <v>20</v>
      </c>
      <c r="N21" s="51" t="s">
        <v>170</v>
      </c>
    </row>
    <row r="22" spans="1:14">
      <c r="A22" s="24" t="s">
        <v>70</v>
      </c>
      <c r="B22" s="18" t="s">
        <v>160</v>
      </c>
      <c r="C22" s="15">
        <v>1200</v>
      </c>
      <c r="D22">
        <v>1</v>
      </c>
      <c r="H22" s="51" t="s">
        <v>76</v>
      </c>
      <c r="I22" s="51">
        <v>0</v>
      </c>
      <c r="J22" s="51">
        <f>D42+D44+D45+D46+D48+D47+D49+D51</f>
        <v>243</v>
      </c>
      <c r="K22" s="51">
        <v>0</v>
      </c>
      <c r="L22" s="51">
        <v>30</v>
      </c>
      <c r="M22" s="51">
        <v>0</v>
      </c>
      <c r="N22" s="51" t="s">
        <v>207</v>
      </c>
    </row>
    <row r="23" spans="1:14">
      <c r="A23" s="24" t="s">
        <v>71</v>
      </c>
      <c r="B23" s="18" t="s">
        <v>158</v>
      </c>
      <c r="C23" s="15">
        <v>1157</v>
      </c>
      <c r="D23">
        <v>1</v>
      </c>
      <c r="H23" s="51" t="s">
        <v>77</v>
      </c>
      <c r="I23" s="51">
        <v>0</v>
      </c>
      <c r="J23" s="51">
        <f>D52+D53+D54+D56+D60+D61</f>
        <v>225</v>
      </c>
      <c r="K23" s="51">
        <v>4</v>
      </c>
      <c r="L23" s="51">
        <f>D55+D57+D58</f>
        <v>46</v>
      </c>
      <c r="M23" s="51">
        <v>1</v>
      </c>
      <c r="N23" s="51" t="s">
        <v>207</v>
      </c>
    </row>
    <row r="24" spans="1:14">
      <c r="A24" s="24" t="s">
        <v>70</v>
      </c>
      <c r="B24" s="18" t="s">
        <v>136</v>
      </c>
      <c r="C24" s="15">
        <v>1096</v>
      </c>
      <c r="D24">
        <v>1</v>
      </c>
      <c r="H24" s="51" t="s">
        <v>78</v>
      </c>
      <c r="I24" s="51">
        <v>10</v>
      </c>
      <c r="J24" s="51">
        <f>D8+D10+D11+D12+D14+D15+D16+D19+D22+D24+D25+D26+D27+D30+D31+D35+D37+D38+D39+D40</f>
        <v>216</v>
      </c>
      <c r="K24" s="51">
        <v>0</v>
      </c>
      <c r="L24" s="51">
        <f>D18+D20+D21</f>
        <v>3</v>
      </c>
      <c r="M24" s="51">
        <f>D9+D17+D23+D28+D29+D32+D33+D34+D36</f>
        <v>69</v>
      </c>
      <c r="N24" s="51" t="s">
        <v>207</v>
      </c>
    </row>
    <row r="25" spans="1:14">
      <c r="A25" s="24" t="s">
        <v>70</v>
      </c>
      <c r="B25" s="18" t="s">
        <v>115</v>
      </c>
      <c r="C25" s="15">
        <v>1095</v>
      </c>
      <c r="D25">
        <v>1</v>
      </c>
    </row>
    <row r="26" spans="1:14">
      <c r="A26" s="24" t="s">
        <v>70</v>
      </c>
      <c r="B26" s="18" t="s">
        <v>150</v>
      </c>
      <c r="C26" s="15">
        <v>1062</v>
      </c>
      <c r="D26">
        <v>1</v>
      </c>
    </row>
    <row r="27" spans="1:14">
      <c r="A27" s="24" t="s">
        <v>70</v>
      </c>
      <c r="B27" s="18" t="s">
        <v>129</v>
      </c>
      <c r="C27" s="15">
        <v>1023</v>
      </c>
      <c r="D27">
        <v>1</v>
      </c>
    </row>
    <row r="28" spans="1:14">
      <c r="A28" s="24" t="s">
        <v>71</v>
      </c>
      <c r="B28" s="18" t="s">
        <v>144</v>
      </c>
      <c r="C28" s="15">
        <v>964</v>
      </c>
      <c r="D28">
        <v>1</v>
      </c>
    </row>
    <row r="29" spans="1:14">
      <c r="A29" s="24" t="s">
        <v>71</v>
      </c>
      <c r="B29" s="18" t="s">
        <v>176</v>
      </c>
      <c r="C29" s="15">
        <v>835</v>
      </c>
      <c r="D29">
        <v>1</v>
      </c>
    </row>
    <row r="30" spans="1:14">
      <c r="A30" s="24" t="s">
        <v>70</v>
      </c>
      <c r="B30" s="18" t="s">
        <v>135</v>
      </c>
      <c r="C30" s="15">
        <v>794</v>
      </c>
      <c r="D30">
        <v>1</v>
      </c>
    </row>
    <row r="31" spans="1:14">
      <c r="A31" s="24" t="s">
        <v>70</v>
      </c>
      <c r="B31" s="18" t="s">
        <v>128</v>
      </c>
      <c r="C31" s="15">
        <v>748</v>
      </c>
      <c r="D31">
        <v>1</v>
      </c>
    </row>
    <row r="32" spans="1:14">
      <c r="A32" s="24" t="s">
        <v>71</v>
      </c>
      <c r="B32" s="18" t="s">
        <v>186</v>
      </c>
      <c r="C32" s="15">
        <v>737</v>
      </c>
      <c r="D32">
        <v>1</v>
      </c>
    </row>
    <row r="33" spans="1:4">
      <c r="A33" s="24" t="s">
        <v>71</v>
      </c>
      <c r="B33" s="18" t="s">
        <v>183</v>
      </c>
      <c r="C33" s="15">
        <v>737</v>
      </c>
      <c r="D33">
        <v>1</v>
      </c>
    </row>
    <row r="34" spans="1:4">
      <c r="A34" s="24" t="s">
        <v>71</v>
      </c>
      <c r="B34" s="18" t="s">
        <v>191</v>
      </c>
      <c r="C34" s="15">
        <v>638</v>
      </c>
      <c r="D34">
        <v>1</v>
      </c>
    </row>
    <row r="35" spans="1:4">
      <c r="A35" s="24" t="s">
        <v>70</v>
      </c>
      <c r="B35" s="18" t="s">
        <v>166</v>
      </c>
      <c r="C35" s="15">
        <v>626</v>
      </c>
      <c r="D35">
        <v>1</v>
      </c>
    </row>
    <row r="36" spans="1:4">
      <c r="A36" s="24" t="s">
        <v>71</v>
      </c>
      <c r="B36" s="18" t="s">
        <v>171</v>
      </c>
      <c r="C36" s="15">
        <v>583</v>
      </c>
      <c r="D36">
        <v>1</v>
      </c>
    </row>
    <row r="37" spans="1:4">
      <c r="A37" s="24" t="s">
        <v>70</v>
      </c>
      <c r="B37" s="18" t="s">
        <v>153</v>
      </c>
      <c r="C37" s="15">
        <v>499</v>
      </c>
      <c r="D37">
        <v>1</v>
      </c>
    </row>
    <row r="38" spans="1:4">
      <c r="A38" s="24" t="s">
        <v>70</v>
      </c>
      <c r="B38" s="18" t="s">
        <v>127</v>
      </c>
      <c r="C38" s="15">
        <v>429</v>
      </c>
      <c r="D38">
        <v>1</v>
      </c>
    </row>
    <row r="39" spans="1:4">
      <c r="A39" s="24" t="s">
        <v>70</v>
      </c>
      <c r="B39" s="18" t="s">
        <v>157</v>
      </c>
      <c r="C39" s="15">
        <v>361</v>
      </c>
      <c r="D39">
        <v>1</v>
      </c>
    </row>
    <row r="40" spans="1:4">
      <c r="A40" s="24" t="s">
        <v>70</v>
      </c>
      <c r="B40" s="18" t="s">
        <v>120</v>
      </c>
      <c r="C40" s="15">
        <v>149</v>
      </c>
      <c r="D40">
        <v>1</v>
      </c>
    </row>
    <row r="41" spans="1:4">
      <c r="B41" s="14" t="s">
        <v>76</v>
      </c>
      <c r="C41" s="15">
        <v>27182</v>
      </c>
    </row>
    <row r="42" spans="1:4">
      <c r="A42" s="24" t="s">
        <v>70</v>
      </c>
      <c r="B42" s="37" t="s">
        <v>185</v>
      </c>
      <c r="C42" s="38">
        <v>3608</v>
      </c>
      <c r="D42" s="24">
        <v>40</v>
      </c>
    </row>
    <row r="43" spans="1:4">
      <c r="A43" s="24" t="s">
        <v>170</v>
      </c>
      <c r="B43" s="37" t="s">
        <v>189</v>
      </c>
      <c r="C43" s="38">
        <v>3532</v>
      </c>
      <c r="D43" s="24">
        <v>30</v>
      </c>
    </row>
    <row r="44" spans="1:4">
      <c r="A44" s="24" t="s">
        <v>70</v>
      </c>
      <c r="B44" s="37" t="s">
        <v>168</v>
      </c>
      <c r="C44" s="38">
        <v>3520</v>
      </c>
      <c r="D44" s="24">
        <v>20</v>
      </c>
    </row>
    <row r="45" spans="1:4">
      <c r="A45" s="24" t="s">
        <v>70</v>
      </c>
      <c r="B45" s="37" t="s">
        <v>140</v>
      </c>
      <c r="C45" s="38">
        <v>3487</v>
      </c>
      <c r="D45" s="24">
        <v>100</v>
      </c>
    </row>
    <row r="46" spans="1:4">
      <c r="A46" s="24" t="s">
        <v>70</v>
      </c>
      <c r="B46" s="37" t="s">
        <v>180</v>
      </c>
      <c r="C46" s="38">
        <v>3462</v>
      </c>
      <c r="D46" s="24">
        <v>60</v>
      </c>
    </row>
    <row r="47" spans="1:4">
      <c r="A47" s="24" t="s">
        <v>70</v>
      </c>
      <c r="B47" s="18" t="s">
        <v>139</v>
      </c>
      <c r="C47" s="15">
        <v>3229</v>
      </c>
      <c r="D47" s="24">
        <v>10</v>
      </c>
    </row>
    <row r="48" spans="1:4">
      <c r="A48" s="24" t="s">
        <v>70</v>
      </c>
      <c r="B48" s="18" t="s">
        <v>137</v>
      </c>
      <c r="C48" s="15">
        <v>3201</v>
      </c>
      <c r="D48" s="24">
        <v>6</v>
      </c>
    </row>
    <row r="49" spans="1:5">
      <c r="A49" s="24" t="s">
        <v>70</v>
      </c>
      <c r="B49" s="18" t="s">
        <v>142</v>
      </c>
      <c r="C49" s="15">
        <v>3143</v>
      </c>
      <c r="D49" s="24">
        <v>4</v>
      </c>
    </row>
    <row r="50" spans="1:5">
      <c r="B50" s="14" t="s">
        <v>77</v>
      </c>
      <c r="C50" s="15">
        <v>26416</v>
      </c>
    </row>
    <row r="51" spans="1:5">
      <c r="A51" s="24" t="s">
        <v>70</v>
      </c>
      <c r="B51" s="37" t="s">
        <v>192</v>
      </c>
      <c r="C51" s="38">
        <v>2674</v>
      </c>
      <c r="D51" s="24">
        <v>3</v>
      </c>
      <c r="E51" s="24" t="s">
        <v>76</v>
      </c>
    </row>
    <row r="52" spans="1:5">
      <c r="A52" s="24" t="s">
        <v>70</v>
      </c>
      <c r="B52" s="37" t="s">
        <v>141</v>
      </c>
      <c r="C52" s="38">
        <v>2558</v>
      </c>
      <c r="D52" s="24">
        <v>100</v>
      </c>
    </row>
    <row r="53" spans="1:5">
      <c r="A53" s="24" t="s">
        <v>70</v>
      </c>
      <c r="B53" s="37" t="s">
        <v>177</v>
      </c>
      <c r="C53" s="38">
        <v>2235</v>
      </c>
      <c r="D53" s="24">
        <v>60</v>
      </c>
    </row>
    <row r="54" spans="1:5">
      <c r="A54" s="24" t="s">
        <v>70</v>
      </c>
      <c r="B54" s="18" t="s">
        <v>173</v>
      </c>
      <c r="C54" s="15">
        <v>2230</v>
      </c>
      <c r="D54" s="24">
        <v>40</v>
      </c>
    </row>
    <row r="55" spans="1:5">
      <c r="A55" s="24" t="s">
        <v>170</v>
      </c>
      <c r="B55" s="18" t="s">
        <v>172</v>
      </c>
      <c r="C55" s="15">
        <v>2180</v>
      </c>
      <c r="D55" s="24">
        <v>30</v>
      </c>
    </row>
    <row r="56" spans="1:5">
      <c r="A56" s="24" t="s">
        <v>70</v>
      </c>
      <c r="B56" s="18" t="s">
        <v>162</v>
      </c>
      <c r="C56" s="15">
        <v>2161</v>
      </c>
      <c r="D56" s="24">
        <v>20</v>
      </c>
    </row>
    <row r="57" spans="1:5">
      <c r="A57" s="24" t="s">
        <v>170</v>
      </c>
      <c r="B57" s="18" t="s">
        <v>179</v>
      </c>
      <c r="C57" s="15">
        <v>2127</v>
      </c>
      <c r="D57" s="24">
        <v>10</v>
      </c>
    </row>
    <row r="58" spans="1:5">
      <c r="A58" s="24" t="s">
        <v>170</v>
      </c>
      <c r="B58" s="18" t="s">
        <v>151</v>
      </c>
      <c r="C58" s="15">
        <v>2123</v>
      </c>
      <c r="D58" s="24">
        <v>6</v>
      </c>
    </row>
    <row r="59" spans="1:5">
      <c r="A59" s="24" t="s">
        <v>193</v>
      </c>
      <c r="B59" s="18" t="s">
        <v>175</v>
      </c>
      <c r="C59" s="15">
        <v>2116</v>
      </c>
      <c r="D59" s="24">
        <v>4</v>
      </c>
    </row>
    <row r="60" spans="1:5">
      <c r="A60" s="24" t="s">
        <v>70</v>
      </c>
      <c r="B60" s="18" t="s">
        <v>130</v>
      </c>
      <c r="C60" s="15">
        <v>2037</v>
      </c>
      <c r="D60" s="24">
        <v>3</v>
      </c>
    </row>
    <row r="61" spans="1:5">
      <c r="A61" s="24" t="s">
        <v>70</v>
      </c>
      <c r="B61" s="18" t="s">
        <v>146</v>
      </c>
      <c r="C61" s="15">
        <v>2024</v>
      </c>
      <c r="D61" s="24">
        <v>2</v>
      </c>
    </row>
    <row r="62" spans="1:5">
      <c r="A62" s="24" t="s">
        <v>71</v>
      </c>
      <c r="B62" s="18" t="s">
        <v>167</v>
      </c>
      <c r="C62" s="15">
        <v>1951</v>
      </c>
      <c r="D62" s="24">
        <v>1</v>
      </c>
    </row>
    <row r="63" spans="1:5">
      <c r="B63" s="14" t="s">
        <v>79</v>
      </c>
      <c r="C63" s="15">
        <v>10608</v>
      </c>
    </row>
    <row r="64" spans="1:5">
      <c r="A64" s="24" t="s">
        <v>71</v>
      </c>
      <c r="B64" s="37" t="s">
        <v>169</v>
      </c>
      <c r="C64" s="38">
        <v>1990</v>
      </c>
      <c r="D64" s="24">
        <v>100</v>
      </c>
    </row>
    <row r="65" spans="1:5">
      <c r="A65" s="24" t="s">
        <v>70</v>
      </c>
      <c r="B65" s="18" t="s">
        <v>132</v>
      </c>
      <c r="C65" s="15">
        <v>1791</v>
      </c>
      <c r="D65" s="24">
        <v>100</v>
      </c>
      <c r="E65" s="24" t="s">
        <v>80</v>
      </c>
    </row>
    <row r="66" spans="1:5">
      <c r="A66" s="24" t="s">
        <v>70</v>
      </c>
      <c r="B66" s="37" t="s">
        <v>134</v>
      </c>
      <c r="C66" s="38">
        <v>1771</v>
      </c>
      <c r="D66" s="24">
        <v>40</v>
      </c>
    </row>
    <row r="67" spans="1:5">
      <c r="A67" s="24" t="s">
        <v>71</v>
      </c>
      <c r="B67" s="37" t="s">
        <v>184</v>
      </c>
      <c r="C67" s="38">
        <v>1705</v>
      </c>
      <c r="D67" s="24">
        <v>60</v>
      </c>
    </row>
    <row r="68" spans="1:5">
      <c r="A68" s="24" t="s">
        <v>70</v>
      </c>
      <c r="B68" s="37" t="s">
        <v>143</v>
      </c>
      <c r="C68" s="38">
        <v>1686</v>
      </c>
      <c r="D68" s="24">
        <v>30</v>
      </c>
    </row>
    <row r="69" spans="1:5">
      <c r="A69" s="24" t="s">
        <v>170</v>
      </c>
      <c r="B69" s="37" t="s">
        <v>190</v>
      </c>
      <c r="C69" s="38">
        <v>1665</v>
      </c>
      <c r="D69" s="24">
        <v>20</v>
      </c>
    </row>
    <row r="70" spans="1:5">
      <c r="B70" s="14" t="s">
        <v>81</v>
      </c>
      <c r="C70" s="15">
        <v>7374</v>
      </c>
    </row>
    <row r="71" spans="1:5">
      <c r="A71" s="24" t="s">
        <v>170</v>
      </c>
      <c r="B71" s="37" t="s">
        <v>174</v>
      </c>
      <c r="C71" s="38">
        <v>1313</v>
      </c>
      <c r="D71" s="24">
        <v>60</v>
      </c>
    </row>
    <row r="72" spans="1:5">
      <c r="A72" s="24" t="s">
        <v>170</v>
      </c>
      <c r="B72" s="37" t="s">
        <v>154</v>
      </c>
      <c r="C72" s="38">
        <v>1073</v>
      </c>
      <c r="D72" s="24">
        <v>40</v>
      </c>
    </row>
    <row r="73" spans="1:5">
      <c r="A73" s="24" t="s">
        <v>70</v>
      </c>
      <c r="B73" s="37" t="s">
        <v>114</v>
      </c>
      <c r="C73" s="38">
        <v>1033</v>
      </c>
      <c r="D73" s="24">
        <v>30</v>
      </c>
    </row>
    <row r="74" spans="1:5">
      <c r="A74" s="24" t="s">
        <v>71</v>
      </c>
      <c r="B74" s="18" t="s">
        <v>161</v>
      </c>
      <c r="C74" s="15">
        <v>1020</v>
      </c>
      <c r="D74" s="24">
        <v>20</v>
      </c>
    </row>
    <row r="75" spans="1:5">
      <c r="A75" s="24" t="s">
        <v>70</v>
      </c>
      <c r="B75" s="18" t="s">
        <v>125</v>
      </c>
      <c r="C75" s="15">
        <v>825</v>
      </c>
      <c r="D75" s="24">
        <v>10</v>
      </c>
    </row>
    <row r="76" spans="1:5">
      <c r="A76" s="24" t="s">
        <v>70</v>
      </c>
      <c r="B76" s="18" t="s">
        <v>123</v>
      </c>
      <c r="C76" s="15">
        <v>728</v>
      </c>
      <c r="D76" s="24">
        <v>6</v>
      </c>
    </row>
    <row r="77" spans="1:5">
      <c r="A77" s="24" t="s">
        <v>70</v>
      </c>
      <c r="B77" s="18" t="s">
        <v>124</v>
      </c>
      <c r="C77" s="15">
        <v>725</v>
      </c>
      <c r="D77" s="24">
        <v>4</v>
      </c>
    </row>
    <row r="78" spans="1:5">
      <c r="A78" s="24" t="s">
        <v>70</v>
      </c>
      <c r="B78" s="18" t="s">
        <v>118</v>
      </c>
      <c r="C78" s="15">
        <v>508</v>
      </c>
      <c r="D78" s="24">
        <v>3</v>
      </c>
    </row>
    <row r="79" spans="1:5">
      <c r="A79" s="24" t="s">
        <v>70</v>
      </c>
      <c r="B79" s="18" t="s">
        <v>156</v>
      </c>
      <c r="C79" s="15">
        <v>149</v>
      </c>
      <c r="D79" s="24">
        <v>2</v>
      </c>
    </row>
    <row r="80" spans="1:5">
      <c r="B80" s="14" t="s">
        <v>80</v>
      </c>
      <c r="C80" s="15">
        <v>3165</v>
      </c>
    </row>
    <row r="81" spans="1:4">
      <c r="A81" s="24" t="s">
        <v>70</v>
      </c>
      <c r="B81" s="18" t="s">
        <v>133</v>
      </c>
      <c r="C81" s="15">
        <v>1603</v>
      </c>
      <c r="D81" s="24">
        <v>60</v>
      </c>
    </row>
    <row r="82" spans="1:4">
      <c r="A82" s="24" t="s">
        <v>70</v>
      </c>
      <c r="B82" s="18" t="s">
        <v>126</v>
      </c>
      <c r="C82" s="15">
        <v>1562</v>
      </c>
      <c r="D82" s="24">
        <v>40</v>
      </c>
    </row>
    <row r="83" spans="1:4">
      <c r="B83" s="14" t="s">
        <v>92</v>
      </c>
      <c r="C83" s="15">
        <v>0</v>
      </c>
    </row>
    <row r="84" spans="1:4">
      <c r="B84" s="18" t="s">
        <v>95</v>
      </c>
      <c r="C84" s="15">
        <v>0</v>
      </c>
    </row>
    <row r="85" spans="1:4">
      <c r="B85"/>
      <c r="C85"/>
    </row>
    <row r="86" spans="1:4">
      <c r="B86"/>
      <c r="C86"/>
    </row>
    <row r="87" spans="1:4">
      <c r="B87"/>
      <c r="C87"/>
    </row>
    <row r="88" spans="1:4">
      <c r="B88"/>
      <c r="C88"/>
    </row>
    <row r="89" spans="1:4">
      <c r="B89"/>
      <c r="C89"/>
    </row>
    <row r="90" spans="1:4">
      <c r="B90"/>
      <c r="C90"/>
    </row>
    <row r="91" spans="1:4">
      <c r="B91"/>
      <c r="C91"/>
    </row>
    <row r="92" spans="1:4">
      <c r="B92"/>
      <c r="C92"/>
    </row>
    <row r="93" spans="1:4">
      <c r="B93"/>
      <c r="C93"/>
    </row>
    <row r="94" spans="1:4">
      <c r="B94"/>
      <c r="C94"/>
    </row>
    <row r="95" spans="1:4">
      <c r="B95"/>
      <c r="C95"/>
    </row>
    <row r="96" spans="1:4">
      <c r="B96"/>
      <c r="C96"/>
    </row>
    <row r="97" spans="2:3">
      <c r="B97"/>
      <c r="C97"/>
    </row>
    <row r="98" spans="2:3">
      <c r="B98"/>
      <c r="C98"/>
    </row>
  </sheetData>
  <mergeCells count="1">
    <mergeCell ref="J10:K10"/>
  </mergeCells>
  <pageMargins left="0.7" right="0.7" top="0.75" bottom="0.75" header="0.3" footer="0.3"/>
  <pageSetup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74</vt:i4>
      </vt:variant>
    </vt:vector>
  </HeadingPairs>
  <TitlesOfParts>
    <vt:vector size="77" baseType="lpstr">
      <vt:lpstr>Climber Records</vt:lpstr>
      <vt:lpstr>Problem Values</vt:lpstr>
      <vt:lpstr>Comp Results</vt:lpstr>
      <vt:lpstr>DU</vt:lpstr>
      <vt:lpstr>F</vt:lpstr>
      <vt:lpstr>M</vt:lpstr>
      <vt:lpstr>MA</vt:lpstr>
      <vt:lpstr>MAP</vt:lpstr>
      <vt:lpstr>MB</vt:lpstr>
      <vt:lpstr>MBP</vt:lpstr>
      <vt:lpstr>MI</vt:lpstr>
      <vt:lpstr>MIP</vt:lpstr>
      <vt:lpstr>PU</vt:lpstr>
      <vt:lpstr>TU</vt:lpstr>
      <vt:lpstr>UDEL</vt:lpstr>
      <vt:lpstr>UPENN</vt:lpstr>
      <vt:lpstr>VU</vt:lpstr>
      <vt:lpstr>W</vt:lpstr>
      <vt:lpstr>WA</vt:lpstr>
      <vt:lpstr>WAP</vt:lpstr>
      <vt:lpstr>WB</vt:lpstr>
      <vt:lpstr>WBP</vt:lpstr>
      <vt:lpstr>WCU</vt:lpstr>
      <vt:lpstr>WI</vt:lpstr>
      <vt:lpstr>WIP</vt:lpstr>
      <vt:lpstr>ZA</vt:lpstr>
      <vt:lpstr>ZAA</vt:lpstr>
      <vt:lpstr>ZB</vt:lpstr>
      <vt:lpstr>ZBB</vt:lpstr>
      <vt:lpstr>ZC</vt:lpstr>
      <vt:lpstr>ZCC</vt:lpstr>
      <vt:lpstr>ZD</vt:lpstr>
      <vt:lpstr>ZDD</vt:lpstr>
      <vt:lpstr>ZE</vt:lpstr>
      <vt:lpstr>ZEE</vt:lpstr>
      <vt:lpstr>ZF</vt:lpstr>
      <vt:lpstr>ZFF</vt:lpstr>
      <vt:lpstr>ZG</vt:lpstr>
      <vt:lpstr>ZGG</vt:lpstr>
      <vt:lpstr>ZH</vt:lpstr>
      <vt:lpstr>ZHH</vt:lpstr>
      <vt:lpstr>ZI</vt:lpstr>
      <vt:lpstr>ZII</vt:lpstr>
      <vt:lpstr>ZJ</vt:lpstr>
      <vt:lpstr>ZJJ</vt:lpstr>
      <vt:lpstr>ZK</vt:lpstr>
      <vt:lpstr>ZKK</vt:lpstr>
      <vt:lpstr>ZL</vt:lpstr>
      <vt:lpstr>ZLL</vt:lpstr>
      <vt:lpstr>ZM</vt:lpstr>
      <vt:lpstr>ZMM</vt:lpstr>
      <vt:lpstr>ZN</vt:lpstr>
      <vt:lpstr>ZNN</vt:lpstr>
      <vt:lpstr>ZO</vt:lpstr>
      <vt:lpstr>ZOO</vt:lpstr>
      <vt:lpstr>ZP</vt:lpstr>
      <vt:lpstr>ZPP</vt:lpstr>
      <vt:lpstr>ZQ</vt:lpstr>
      <vt:lpstr>ZQQ</vt:lpstr>
      <vt:lpstr>ZR</vt:lpstr>
      <vt:lpstr>ZRR</vt:lpstr>
      <vt:lpstr>ZS</vt:lpstr>
      <vt:lpstr>ZSS</vt:lpstr>
      <vt:lpstr>ZT</vt:lpstr>
      <vt:lpstr>ZTT</vt:lpstr>
      <vt:lpstr>ZU</vt:lpstr>
      <vt:lpstr>ZUU</vt:lpstr>
      <vt:lpstr>ZV</vt:lpstr>
      <vt:lpstr>ZVV</vt:lpstr>
      <vt:lpstr>ZW</vt:lpstr>
      <vt:lpstr>ZWW</vt:lpstr>
      <vt:lpstr>ZX</vt:lpstr>
      <vt:lpstr>ZXX</vt:lpstr>
      <vt:lpstr>ZY</vt:lpstr>
      <vt:lpstr>ZYY</vt:lpstr>
      <vt:lpstr>ZZ</vt:lpstr>
      <vt:lpstr>ZZZ</vt:lpstr>
    </vt:vector>
  </TitlesOfParts>
  <Company>Drexel 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Devilbiss</dc:creator>
  <cp:lastModifiedBy>Tyler Devilbiss</cp:lastModifiedBy>
  <dcterms:created xsi:type="dcterms:W3CDTF">2013-11-08T01:14:19Z</dcterms:created>
  <dcterms:modified xsi:type="dcterms:W3CDTF">2014-02-19T15:40:24Z</dcterms:modified>
</cp:coreProperties>
</file>