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/>
  <bookViews>
    <workbookView xWindow="0" yWindow="0" windowWidth="19440" windowHeight="12240" activeTab="2"/>
  </bookViews>
  <sheets>
    <sheet name="Climber Records" sheetId="2" r:id="rId1"/>
    <sheet name="Problem Values" sheetId="1" r:id="rId2"/>
    <sheet name="Comp Results" sheetId="4" r:id="rId3"/>
  </sheets>
  <definedNames>
    <definedName name="_xlnm._FilterDatabase" localSheetId="0" hidden="1">'Climber Records'!$E$3:$E$83</definedName>
    <definedName name="DU">'Problem Values'!$N$3</definedName>
    <definedName name="FL">'Problem Values'!$J$2</definedName>
    <definedName name="M">'Problem Values'!$J$13</definedName>
    <definedName name="MA">'Problem Values'!$I$5</definedName>
    <definedName name="MAP">'Problem Values'!$J$5</definedName>
    <definedName name="MB">'Problem Values'!$I$7</definedName>
    <definedName name="MBP">'Problem Values'!$J$7</definedName>
    <definedName name="MI">'Problem Values'!$I$6</definedName>
    <definedName name="MIP">'Problem Values'!$J$6</definedName>
    <definedName name="PU">'Problem Values'!$N$7</definedName>
    <definedName name="TU">'Problem Values'!$N$6</definedName>
    <definedName name="UDEL">'Problem Values'!$N$5</definedName>
    <definedName name="UPENN">'Problem Values'!$N$11</definedName>
    <definedName name="VU">'Problem Values'!$N$9</definedName>
    <definedName name="W">'Problem Values'!$J$14</definedName>
    <definedName name="WA">'Problem Values'!$I$8</definedName>
    <definedName name="WAP">'Problem Values'!$J$8</definedName>
    <definedName name="WB">'Problem Values'!$I$10</definedName>
    <definedName name="WBP">'Problem Values'!$J$10</definedName>
    <definedName name="WCU">'Problem Values'!$N$8</definedName>
    <definedName name="WI">'Problem Values'!$I$9</definedName>
    <definedName name="WIP">'Problem Values'!$J$9</definedName>
    <definedName name="ZA">'Problem Values'!$C$3</definedName>
    <definedName name="ZAA">'Problem Values'!$F$3</definedName>
    <definedName name="ZB">'Problem Values'!$C$4</definedName>
    <definedName name="ZBB">'Problem Values'!$F$4</definedName>
    <definedName name="ZC">'Problem Values'!$C$5</definedName>
    <definedName name="ZCC">'Problem Values'!$F$5</definedName>
    <definedName name="ZD">'Problem Values'!$C$6</definedName>
    <definedName name="ZDD">'Problem Values'!$F$6</definedName>
    <definedName name="ZE">'Problem Values'!$C$7</definedName>
    <definedName name="ZEE">'Problem Values'!$F$7</definedName>
    <definedName name="ZF">'Problem Values'!$C$8</definedName>
    <definedName name="ZFF">'Problem Values'!$F$8</definedName>
    <definedName name="ZG">'Problem Values'!$C$9</definedName>
    <definedName name="ZGG">'Problem Values'!$F$9</definedName>
    <definedName name="ZH">'Problem Values'!$C$10</definedName>
    <definedName name="ZHH">'Problem Values'!$F$10</definedName>
    <definedName name="ZI">'Problem Values'!$C$11</definedName>
    <definedName name="ZII">'Problem Values'!$F$11</definedName>
    <definedName name="ZJ">'Problem Values'!$C$12</definedName>
    <definedName name="ZJJ">'Problem Values'!$F$12</definedName>
    <definedName name="ZK">'Problem Values'!$C$13</definedName>
    <definedName name="ZKK">'Problem Values'!$F$13</definedName>
    <definedName name="ZL">'Problem Values'!$C$14</definedName>
    <definedName name="ZLL">'Problem Values'!$F$14</definedName>
    <definedName name="ZM">'Problem Values'!$C$15</definedName>
    <definedName name="ZMM">'Problem Values'!$F$15</definedName>
    <definedName name="ZN">'Problem Values'!$C$16</definedName>
    <definedName name="ZNN">'Problem Values'!$F$16</definedName>
    <definedName name="ZO">'Problem Values'!$C$17</definedName>
    <definedName name="ZOO">'Problem Values'!$F$17</definedName>
    <definedName name="ZP">'Problem Values'!$C$18</definedName>
    <definedName name="ZPP">'Problem Values'!$F$18</definedName>
    <definedName name="ZQ">'Problem Values'!$C$19</definedName>
    <definedName name="ZQQ">'Problem Values'!$F$19</definedName>
    <definedName name="ZR">'Problem Values'!$C$20</definedName>
    <definedName name="ZRR">'Problem Values'!$F$20</definedName>
    <definedName name="ZS">'Problem Values'!$C$21</definedName>
    <definedName name="ZSS">'Problem Values'!$F$21</definedName>
    <definedName name="ZT">'Problem Values'!$C$22</definedName>
    <definedName name="ZTT">'Problem Values'!$F$22</definedName>
    <definedName name="ZU">'Problem Values'!$C$23</definedName>
    <definedName name="ZUU">'Problem Values'!$F$23</definedName>
    <definedName name="ZV">'Problem Values'!$C$24</definedName>
    <definedName name="ZVV">'Problem Values'!$F$24</definedName>
    <definedName name="ZW">'Problem Values'!$C$25</definedName>
    <definedName name="ZWW">'Problem Values'!$F$25</definedName>
    <definedName name="ZX">'Problem Values'!$C$26</definedName>
    <definedName name="ZXX">'Problem Values'!$F$26</definedName>
    <definedName name="ZY">'Problem Values'!$C$27</definedName>
    <definedName name="ZYY">'Problem Values'!$F$27</definedName>
    <definedName name="ZZ">'Problem Values'!$C$28</definedName>
    <definedName name="ZZZ">'Problem Values'!$F$28</definedName>
  </definedNames>
  <calcPr calcId="145621" concurrentCalc="0"/>
  <pivotCaches>
    <pivotCache cacheId="0" r:id="rId4"/>
  </pivotCache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24" i="4" l="1"/>
  <c r="G24" i="4"/>
  <c r="I27" i="4"/>
  <c r="G27" i="4"/>
  <c r="I28" i="4"/>
  <c r="G28" i="4"/>
  <c r="I25" i="4"/>
  <c r="G25" i="4"/>
  <c r="I23" i="4"/>
  <c r="G23" i="4"/>
  <c r="H26" i="4"/>
  <c r="I26" i="4"/>
  <c r="F23" i="4"/>
  <c r="G26" i="4"/>
  <c r="H5" i="2"/>
  <c r="H11" i="2"/>
  <c r="H15" i="2"/>
  <c r="H37" i="2"/>
  <c r="H39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M49" i="2"/>
  <c r="O21" i="2"/>
  <c r="L21" i="2"/>
  <c r="N21" i="2"/>
  <c r="N58" i="2"/>
  <c r="P44" i="2"/>
  <c r="M22" i="2"/>
  <c r="J22" i="2"/>
  <c r="K22" i="2"/>
  <c r="L22" i="2"/>
  <c r="R42" i="2"/>
  <c r="N51" i="2"/>
  <c r="P14" i="2"/>
  <c r="O64" i="2"/>
  <c r="N18" i="2"/>
  <c r="Q34" i="2"/>
  <c r="N20" i="2"/>
  <c r="N41" i="2"/>
  <c r="M43" i="2"/>
  <c r="L43" i="2"/>
  <c r="K43" i="2"/>
  <c r="J43" i="2"/>
  <c r="I43" i="2"/>
  <c r="R25" i="2"/>
  <c r="Q42" i="2"/>
  <c r="P42" i="2"/>
  <c r="O42" i="2"/>
  <c r="N42" i="2"/>
  <c r="M42" i="2"/>
  <c r="L42" i="2"/>
  <c r="K42" i="2"/>
  <c r="J42" i="2"/>
  <c r="I42" i="2"/>
  <c r="M58" i="2"/>
  <c r="L58" i="2"/>
  <c r="K58" i="2"/>
  <c r="J58" i="2"/>
  <c r="I58" i="2"/>
  <c r="N30" i="2"/>
  <c r="P47" i="2"/>
  <c r="Q63" i="2"/>
  <c r="N64" i="2"/>
  <c r="O13" i="2"/>
  <c r="P48" i="2"/>
  <c r="Q26" i="2"/>
  <c r="R19" i="2"/>
  <c r="P55" i="2"/>
  <c r="O27" i="2"/>
  <c r="Q25" i="2"/>
  <c r="M40" i="2"/>
  <c r="N7" i="2"/>
  <c r="M51" i="2"/>
  <c r="M4" i="2"/>
  <c r="L4" i="2"/>
  <c r="K4" i="2"/>
  <c r="J4" i="2"/>
  <c r="I4" i="2"/>
  <c r="P12" i="2"/>
  <c r="M23" i="2"/>
  <c r="N16" i="2"/>
  <c r="R36" i="2"/>
  <c r="Q36" i="2"/>
  <c r="O31" i="2"/>
  <c r="N31" i="2"/>
  <c r="M31" i="2"/>
  <c r="O29" i="2"/>
  <c r="M21" i="2"/>
  <c r="K21" i="2"/>
  <c r="J21" i="2"/>
  <c r="I21" i="2"/>
  <c r="P9" i="2"/>
  <c r="N53" i="2"/>
  <c r="N27" i="2"/>
  <c r="N8" i="2"/>
  <c r="P26" i="2"/>
  <c r="M24" i="2"/>
  <c r="L24" i="2"/>
  <c r="K24" i="2"/>
  <c r="J24" i="2"/>
  <c r="I24" i="2"/>
  <c r="M7" i="2"/>
  <c r="L7" i="2"/>
  <c r="K7" i="2"/>
  <c r="J7" i="2"/>
  <c r="I7" i="2"/>
  <c r="P45" i="2"/>
  <c r="P34" i="2"/>
  <c r="O47" i="2"/>
  <c r="N50" i="2"/>
  <c r="O14" i="2"/>
  <c r="N10" i="2"/>
  <c r="O46" i="2"/>
  <c r="L23" i="2"/>
  <c r="N29" i="2"/>
  <c r="L49" i="2"/>
  <c r="K49" i="2"/>
  <c r="J49" i="2"/>
  <c r="I49" i="2"/>
  <c r="M41" i="2"/>
  <c r="O33" i="2"/>
  <c r="N57" i="2"/>
  <c r="M16" i="2"/>
  <c r="L16" i="2"/>
  <c r="K16" i="2"/>
  <c r="J16" i="2"/>
  <c r="I16" i="2"/>
  <c r="O55" i="2"/>
  <c r="N55" i="2"/>
  <c r="L64" i="2"/>
  <c r="O34" i="2"/>
  <c r="N13" i="2"/>
  <c r="Q17" i="2"/>
  <c r="M18" i="2"/>
  <c r="N35" i="2"/>
  <c r="N47" i="2"/>
  <c r="M20" i="2"/>
  <c r="N46" i="2"/>
  <c r="M29" i="2"/>
  <c r="N60" i="2"/>
  <c r="L41" i="2"/>
  <c r="N52" i="2"/>
  <c r="M52" i="2"/>
  <c r="M53" i="2"/>
  <c r="L53" i="2"/>
  <c r="Q38" i="2"/>
  <c r="O44" i="2"/>
  <c r="M13" i="2"/>
  <c r="L13" i="2"/>
  <c r="K13" i="2"/>
  <c r="J13" i="2"/>
  <c r="O26" i="2"/>
  <c r="O48" i="2"/>
  <c r="N48" i="2"/>
  <c r="L40" i="2"/>
  <c r="L18" i="2"/>
  <c r="I22" i="2"/>
  <c r="M57" i="2"/>
  <c r="L57" i="2"/>
  <c r="K57" i="2"/>
  <c r="J57" i="2"/>
  <c r="I57" i="2"/>
  <c r="L20" i="2"/>
  <c r="O12" i="2"/>
  <c r="P25" i="2"/>
  <c r="M47" i="2"/>
  <c r="Q19" i="2"/>
  <c r="M60" i="2"/>
  <c r="L60" i="2"/>
  <c r="N44" i="2"/>
  <c r="N34" i="2"/>
  <c r="N26" i="2"/>
  <c r="M55" i="2"/>
  <c r="L55" i="2"/>
  <c r="K55" i="2"/>
  <c r="P38" i="2"/>
  <c r="K64" i="2"/>
  <c r="J64" i="2"/>
  <c r="I64" i="2"/>
  <c r="K18" i="2"/>
  <c r="M35" i="2"/>
  <c r="L31" i="2"/>
  <c r="P17" i="2"/>
  <c r="O25" i="2"/>
  <c r="N12" i="2"/>
  <c r="O54" i="2"/>
  <c r="P19" i="2"/>
  <c r="M56" i="2"/>
  <c r="L56" i="2"/>
  <c r="K56" i="2"/>
  <c r="J56" i="2"/>
  <c r="I56" i="2"/>
  <c r="M34" i="2"/>
  <c r="K40" i="2"/>
  <c r="O45" i="2"/>
  <c r="P36" i="2"/>
  <c r="O36" i="2"/>
  <c r="O17" i="2"/>
  <c r="L35" i="2"/>
  <c r="M12" i="2"/>
  <c r="N25" i="2"/>
  <c r="M50" i="2"/>
  <c r="L50" i="2"/>
  <c r="P63" i="2"/>
  <c r="K20" i="2"/>
  <c r="M10" i="2"/>
  <c r="O19" i="2"/>
  <c r="K53" i="2"/>
  <c r="N28" i="2"/>
  <c r="N45" i="2"/>
  <c r="J55" i="2"/>
  <c r="L10" i="2"/>
  <c r="M26" i="2"/>
  <c r="J6" i="2"/>
  <c r="O9" i="2"/>
  <c r="O38" i="2"/>
  <c r="K41" i="2"/>
  <c r="N14" i="2"/>
  <c r="M46" i="2"/>
  <c r="L51" i="2"/>
  <c r="N33" i="2"/>
  <c r="M48" i="2"/>
  <c r="L26" i="2"/>
  <c r="N19" i="2"/>
  <c r="N17" i="2"/>
  <c r="M44" i="2"/>
  <c r="N54" i="2"/>
  <c r="K10" i="2"/>
  <c r="J10" i="2"/>
  <c r="N38" i="2"/>
  <c r="M27" i="2"/>
  <c r="N9" i="2"/>
  <c r="L29" i="2"/>
  <c r="M8" i="2"/>
  <c r="L8" i="2"/>
  <c r="K8" i="2"/>
  <c r="M14" i="2"/>
  <c r="M25" i="2"/>
  <c r="L44" i="2"/>
  <c r="M30" i="2"/>
  <c r="O63" i="2"/>
  <c r="K26" i="2"/>
  <c r="M17" i="2"/>
  <c r="M54" i="2"/>
  <c r="L47" i="2"/>
  <c r="J47" i="2"/>
  <c r="J53" i="2"/>
  <c r="K35" i="2"/>
  <c r="L48" i="2"/>
  <c r="L34" i="2"/>
  <c r="K44" i="2"/>
  <c r="K23" i="2"/>
  <c r="M33" i="2"/>
  <c r="M45" i="2"/>
  <c r="M28" i="2"/>
  <c r="L17" i="2"/>
  <c r="M9" i="2"/>
  <c r="J32" i="2"/>
  <c r="L54" i="2"/>
  <c r="K29" i="2"/>
  <c r="L46" i="2"/>
  <c r="L9" i="2"/>
  <c r="L52" i="2"/>
  <c r="L14" i="2"/>
  <c r="I6" i="2"/>
  <c r="M19" i="2"/>
  <c r="L19" i="2"/>
  <c r="N63" i="2"/>
  <c r="L33" i="2"/>
  <c r="I32" i="2"/>
  <c r="K48" i="2"/>
  <c r="K34" i="2"/>
  <c r="J20" i="2"/>
  <c r="L30" i="2"/>
  <c r="N36" i="2"/>
  <c r="M36" i="2"/>
  <c r="L36" i="2"/>
  <c r="K36" i="2"/>
  <c r="J36" i="2"/>
  <c r="I36" i="2"/>
  <c r="I55" i="2"/>
  <c r="I10" i="2"/>
  <c r="J26" i="2"/>
  <c r="I26" i="2"/>
  <c r="J35" i="2"/>
  <c r="L45" i="2"/>
  <c r="M38" i="2"/>
  <c r="K31" i="2"/>
  <c r="J31" i="2"/>
  <c r="I31" i="2"/>
  <c r="L62" i="2"/>
  <c r="K50" i="2"/>
  <c r="J50" i="2"/>
  <c r="I50" i="2"/>
  <c r="J23" i="2"/>
  <c r="K14" i="2"/>
  <c r="K33" i="2"/>
  <c r="L28" i="2"/>
  <c r="K51" i="2"/>
  <c r="K19" i="2"/>
  <c r="J8" i="2"/>
  <c r="I8" i="2"/>
  <c r="L25" i="2"/>
  <c r="L12" i="2"/>
  <c r="M63" i="2"/>
  <c r="L27" i="2"/>
  <c r="J44" i="2"/>
  <c r="L38" i="2"/>
  <c r="J61" i="2"/>
  <c r="I61" i="2"/>
  <c r="J18" i="2"/>
  <c r="K47" i="2"/>
  <c r="J33" i="2"/>
  <c r="J19" i="2"/>
  <c r="K30" i="2"/>
  <c r="I35" i="2"/>
  <c r="K62" i="2"/>
  <c r="K17" i="2"/>
  <c r="K59" i="2"/>
  <c r="K46" i="2"/>
  <c r="J14" i="2"/>
  <c r="K52" i="2"/>
  <c r="J52" i="2"/>
  <c r="K38" i="2"/>
  <c r="J41" i="2"/>
  <c r="K28" i="2"/>
  <c r="K60" i="2"/>
  <c r="J51" i="2"/>
  <c r="I19" i="2"/>
  <c r="J29" i="2"/>
  <c r="I29" i="2"/>
  <c r="K9" i="2"/>
  <c r="K27" i="2"/>
  <c r="K25" i="2"/>
  <c r="K12" i="2"/>
  <c r="L63" i="2"/>
  <c r="K45" i="2"/>
  <c r="J17" i="2"/>
  <c r="I41" i="2"/>
  <c r="J27" i="2"/>
  <c r="J25" i="2"/>
  <c r="J12" i="2"/>
  <c r="J38" i="2"/>
  <c r="J28" i="2"/>
  <c r="J62" i="2"/>
  <c r="J9" i="2"/>
  <c r="I9" i="2"/>
  <c r="J46" i="2"/>
  <c r="I46" i="2"/>
  <c r="I51" i="2"/>
  <c r="I52" i="2"/>
  <c r="J59" i="2"/>
  <c r="I59" i="2"/>
  <c r="J34" i="2"/>
  <c r="K63" i="2"/>
  <c r="I47" i="2"/>
  <c r="J40" i="2"/>
  <c r="I14" i="2"/>
  <c r="J60" i="2"/>
  <c r="J45" i="2"/>
  <c r="J30" i="2"/>
  <c r="I25" i="2"/>
  <c r="I12" i="2"/>
  <c r="K54" i="2"/>
  <c r="I20" i="2"/>
  <c r="J48" i="2"/>
  <c r="I48" i="2"/>
  <c r="I53" i="2"/>
  <c r="I62" i="2"/>
  <c r="I38" i="2"/>
  <c r="I17" i="2"/>
  <c r="I33" i="2"/>
  <c r="I65" i="2"/>
  <c r="I34" i="2"/>
  <c r="I23" i="2"/>
  <c r="I28" i="2"/>
  <c r="J63" i="2"/>
  <c r="I13" i="2"/>
  <c r="I54" i="2"/>
  <c r="I63" i="2"/>
  <c r="J5" i="1"/>
  <c r="J6" i="1"/>
  <c r="J7" i="1"/>
  <c r="J8" i="1"/>
  <c r="J10" i="1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5" i="2"/>
  <c r="F15" i="2"/>
  <c r="F37" i="2"/>
  <c r="F39" i="2"/>
  <c r="F11" i="2"/>
  <c r="K2" i="1"/>
  <c r="H36" i="2"/>
  <c r="F36" i="2"/>
  <c r="H18" i="2"/>
  <c r="F18" i="2"/>
  <c r="H9" i="2"/>
  <c r="F9" i="2"/>
  <c r="H38" i="2"/>
  <c r="F38" i="2"/>
  <c r="H20" i="2"/>
  <c r="F20" i="2"/>
  <c r="H51" i="2"/>
  <c r="F51" i="2"/>
  <c r="H6" i="2"/>
  <c r="F6" i="2"/>
  <c r="H55" i="2"/>
  <c r="F55" i="2"/>
  <c r="H41" i="2"/>
  <c r="F41" i="2"/>
  <c r="H46" i="2"/>
  <c r="F46" i="2"/>
  <c r="H35" i="2"/>
  <c r="F35" i="2"/>
  <c r="H12" i="2"/>
  <c r="F12" i="2"/>
  <c r="H52" i="2"/>
  <c r="F52" i="2"/>
  <c r="H53" i="2"/>
  <c r="F53" i="2"/>
  <c r="H50" i="2"/>
  <c r="F50" i="2"/>
  <c r="H10" i="2"/>
  <c r="F10" i="2"/>
  <c r="H32" i="2"/>
  <c r="F32" i="2"/>
  <c r="H33" i="2"/>
  <c r="F33" i="2"/>
  <c r="H30" i="2"/>
  <c r="F30" i="2"/>
  <c r="H60" i="2"/>
  <c r="F60" i="2"/>
  <c r="H40" i="2"/>
  <c r="F40" i="2"/>
  <c r="H28" i="2"/>
  <c r="F28" i="2"/>
  <c r="H44" i="2"/>
  <c r="F44" i="2"/>
  <c r="H13" i="2"/>
  <c r="F13" i="2"/>
  <c r="H25" i="2"/>
  <c r="F25" i="2"/>
  <c r="H45" i="2"/>
  <c r="F45" i="2"/>
  <c r="H17" i="2"/>
  <c r="F17" i="2"/>
  <c r="H8" i="2"/>
  <c r="F8" i="2"/>
  <c r="H29" i="2"/>
  <c r="F29" i="2"/>
  <c r="H62" i="2"/>
  <c r="F62" i="2"/>
  <c r="H19" i="2"/>
  <c r="F19" i="2"/>
  <c r="H14" i="2"/>
  <c r="F14" i="2"/>
  <c r="H59" i="2"/>
  <c r="F59" i="2"/>
  <c r="H34" i="2"/>
  <c r="F34" i="2"/>
  <c r="H23" i="2"/>
  <c r="F23" i="2"/>
  <c r="H31" i="2"/>
  <c r="F31" i="2"/>
  <c r="H48" i="2"/>
  <c r="F48" i="2"/>
  <c r="H61" i="2"/>
  <c r="F61" i="2"/>
  <c r="H54" i="2"/>
  <c r="F54" i="2"/>
  <c r="H65" i="2"/>
  <c r="F65" i="2"/>
  <c r="H63" i="2"/>
  <c r="F63" i="2"/>
  <c r="H47" i="2"/>
  <c r="F47" i="2"/>
  <c r="H64" i="2"/>
  <c r="F64" i="2"/>
  <c r="H26" i="2"/>
  <c r="F26" i="2"/>
  <c r="H27" i="2"/>
  <c r="F27" i="2"/>
  <c r="H24" i="2"/>
  <c r="F24" i="2"/>
  <c r="H4" i="2"/>
  <c r="F4" i="2"/>
  <c r="H16" i="2"/>
  <c r="F16" i="2"/>
  <c r="H57" i="2"/>
  <c r="F57" i="2"/>
  <c r="H22" i="2"/>
  <c r="F22" i="2"/>
  <c r="H43" i="2"/>
  <c r="F43" i="2"/>
  <c r="H49" i="2"/>
  <c r="F49" i="2"/>
  <c r="H7" i="2"/>
  <c r="F7" i="2"/>
  <c r="H58" i="2"/>
  <c r="F58" i="2"/>
  <c r="H42" i="2"/>
  <c r="F42" i="2"/>
  <c r="H21" i="2"/>
  <c r="F21" i="2"/>
  <c r="H56" i="2"/>
  <c r="F56" i="2"/>
  <c r="G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55" i="2"/>
  <c r="G6" i="2"/>
  <c r="G49" i="2"/>
  <c r="G51" i="2"/>
  <c r="G7" i="2"/>
  <c r="G65" i="2"/>
  <c r="G63" i="2"/>
  <c r="G62" i="2"/>
  <c r="G61" i="2"/>
  <c r="G60" i="2"/>
  <c r="G59" i="2"/>
  <c r="G58" i="2"/>
  <c r="G57" i="2"/>
  <c r="G56" i="2"/>
  <c r="G54" i="2"/>
  <c r="G53" i="2"/>
  <c r="G52" i="2"/>
  <c r="G50" i="2"/>
  <c r="G48" i="2"/>
  <c r="G64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5" i="2"/>
</calcChain>
</file>

<file path=xl/comments1.xml><?xml version="1.0" encoding="utf-8"?>
<comments xmlns="http://schemas.openxmlformats.org/spreadsheetml/2006/main">
  <authors>
    <author>Tyler Devilbiss</author>
  </authors>
  <commentList>
    <comment ref="D27" authorId="0">
      <text>
        <r>
          <rPr>
            <b/>
            <sz val="12"/>
            <color indexed="81"/>
            <rFont val="Tahoma"/>
            <family val="2"/>
          </rPr>
          <t>Tyler Devilbiss:</t>
        </r>
        <r>
          <rPr>
            <sz val="12"/>
            <color indexed="81"/>
            <rFont val="Tahoma"/>
            <family val="2"/>
          </rPr>
          <t xml:space="preserve">
Insert  a capital M or W for gender.</t>
        </r>
      </text>
    </comment>
    <comment ref="I27" authorId="0">
      <text>
        <r>
          <rPr>
            <b/>
            <sz val="12"/>
            <color indexed="81"/>
            <rFont val="Tahoma"/>
            <family val="2"/>
          </rPr>
          <t>Tyler Devilbiss:</t>
        </r>
        <r>
          <rPr>
            <sz val="12"/>
            <color indexed="81"/>
            <rFont val="Tahoma"/>
            <family val="2"/>
          </rPr>
          <t xml:space="preserve">
to enter score use =Z"climb code" (A, DD…) To add flash bonus use *FL
EX: =ZA*FL for flashed climb A</t>
        </r>
      </text>
    </comment>
  </commentList>
</comments>
</file>

<file path=xl/comments2.xml><?xml version="1.0" encoding="utf-8"?>
<comments xmlns="http://schemas.openxmlformats.org/spreadsheetml/2006/main">
  <authors>
    <author>Tyler Devilbiss</author>
  </authors>
  <commentList>
    <comment ref="J5" authorId="0">
      <text>
        <r>
          <rPr>
            <b/>
            <sz val="9"/>
            <color indexed="81"/>
            <rFont val="Tahoma"/>
            <family val="2"/>
          </rPr>
          <t>Tyler Devilbiss:</t>
        </r>
        <r>
          <rPr>
            <sz val="9"/>
            <color indexed="81"/>
            <rFont val="Tahoma"/>
            <family val="2"/>
          </rPr>
          <t xml:space="preserve">
These values are the top 5 climbs points added together that are contained within the particular division.</t>
        </r>
      </text>
    </comment>
  </commentList>
</comments>
</file>

<file path=xl/sharedStrings.xml><?xml version="1.0" encoding="utf-8"?>
<sst xmlns="http://schemas.openxmlformats.org/spreadsheetml/2006/main" count="500" uniqueCount="198">
  <si>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</si>
  <si>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</si>
  <si>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</si>
  <si>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</si>
  <si>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</si>
  <si>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</si>
  <si>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</si>
  <si>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</si>
  <si>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</si>
  <si>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</si>
  <si>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</si>
  <si>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</si>
  <si>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</si>
  <si>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</si>
  <si>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</si>
  <si>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</si>
  <si>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</si>
  <si>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</si>
  <si>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</si>
  <si>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</si>
  <si>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</si>
  <si>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</si>
  <si>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</si>
  <si>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</si>
  <si>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</si>
  <si>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</si>
  <si>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</si>
  <si>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BB</t>
  </si>
  <si>
    <t>CC</t>
  </si>
  <si>
    <t>DD</t>
  </si>
  <si>
    <t>EE</t>
  </si>
  <si>
    <t>FF</t>
  </si>
  <si>
    <t>GG</t>
  </si>
  <si>
    <t>HH</t>
  </si>
  <si>
    <t>II</t>
  </si>
  <si>
    <t>JJ</t>
  </si>
  <si>
    <t>KK</t>
  </si>
  <si>
    <t>LL</t>
  </si>
  <si>
    <t>MM</t>
  </si>
  <si>
    <t>NN</t>
  </si>
  <si>
    <t>OO</t>
  </si>
  <si>
    <t>PP</t>
  </si>
  <si>
    <t>QQ</t>
  </si>
  <si>
    <t>RR</t>
  </si>
  <si>
    <t>SS</t>
  </si>
  <si>
    <t>TT</t>
  </si>
  <si>
    <t>UU</t>
  </si>
  <si>
    <t>VV</t>
  </si>
  <si>
    <t>WW</t>
  </si>
  <si>
    <t>XX</t>
  </si>
  <si>
    <t>YY</t>
  </si>
  <si>
    <t>ZZ</t>
  </si>
  <si>
    <t>School</t>
  </si>
  <si>
    <t>Climber Name</t>
  </si>
  <si>
    <t>Score Total</t>
  </si>
  <si>
    <t>PCCS Official Score Sheet</t>
  </si>
  <si>
    <t>Climb Label</t>
  </si>
  <si>
    <t>Point Value</t>
  </si>
  <si>
    <t>Grade</t>
  </si>
  <si>
    <t>Flash value, F</t>
  </si>
  <si>
    <t>Schools</t>
  </si>
  <si>
    <t>WCU</t>
  </si>
  <si>
    <t>Drexel University</t>
  </si>
  <si>
    <t>University of Pennsylvania</t>
  </si>
  <si>
    <t>University of Deleware</t>
  </si>
  <si>
    <t>Temple University</t>
  </si>
  <si>
    <t>Princeton University</t>
  </si>
  <si>
    <t>West Chester University</t>
  </si>
  <si>
    <t>Code</t>
  </si>
  <si>
    <t>Villanova University</t>
  </si>
  <si>
    <t>DU</t>
  </si>
  <si>
    <t>TU</t>
  </si>
  <si>
    <t>PU</t>
  </si>
  <si>
    <t>VU</t>
  </si>
  <si>
    <t>Division</t>
  </si>
  <si>
    <t>Divisions</t>
  </si>
  <si>
    <t>MA</t>
  </si>
  <si>
    <t>MI</t>
  </si>
  <si>
    <t>MB</t>
  </si>
  <si>
    <t>WA</t>
  </si>
  <si>
    <t>WI</t>
  </si>
  <si>
    <t>WB</t>
  </si>
  <si>
    <t>Max Points</t>
  </si>
  <si>
    <t>UPENN</t>
  </si>
  <si>
    <t>Gender Codes</t>
  </si>
  <si>
    <t>Male</t>
  </si>
  <si>
    <t>Female</t>
  </si>
  <si>
    <t>Enter Climbs From Here Over ---&gt;</t>
  </si>
  <si>
    <t>Overall Ranking</t>
  </si>
  <si>
    <t>UDEL</t>
  </si>
  <si>
    <t>Gender, M/W</t>
  </si>
  <si>
    <t>Row Labels</t>
  </si>
  <si>
    <t>FALSE</t>
  </si>
  <si>
    <t>Paid</t>
  </si>
  <si>
    <t>YES</t>
  </si>
  <si>
    <t>Sum of Score Total</t>
  </si>
  <si>
    <t>(blank)</t>
  </si>
  <si>
    <t>(All)</t>
  </si>
  <si>
    <t>VB-V1</t>
  </si>
  <si>
    <t>VB-V2</t>
  </si>
  <si>
    <t>V2-V3</t>
  </si>
  <si>
    <t>V5+</t>
  </si>
  <si>
    <t>IAN RILEY</t>
  </si>
  <si>
    <t>JACK WILKE</t>
  </si>
  <si>
    <t>RYAN RUE</t>
  </si>
  <si>
    <t>NEIL CASTELINO</t>
  </si>
  <si>
    <t>CHELSEA CHAPELIERE</t>
  </si>
  <si>
    <t>MATTHEW BUI</t>
  </si>
  <si>
    <t>LIZ LONG</t>
  </si>
  <si>
    <t>DAVE VENTURA</t>
  </si>
  <si>
    <t>JEREMY VITAL</t>
  </si>
  <si>
    <t>AUSTIN ALEXANDER</t>
  </si>
  <si>
    <t>DAVE THORNE</t>
  </si>
  <si>
    <t>TYLER DEVILBISS</t>
  </si>
  <si>
    <t>JAMES SCHRODER</t>
  </si>
  <si>
    <t>MICHAEL SANGILLO</t>
  </si>
  <si>
    <t>DEVON KODGER</t>
  </si>
  <si>
    <t>ETHAN QUANCI</t>
  </si>
  <si>
    <t>ANDREA LOVERINCEVIC</t>
  </si>
  <si>
    <t>DAVID KASSIE</t>
  </si>
  <si>
    <t>TAYLOR CLARK</t>
  </si>
  <si>
    <t>KRISTAPS KANCANS</t>
  </si>
  <si>
    <t>KAREN YEE</t>
  </si>
  <si>
    <t>V3-V4</t>
  </si>
  <si>
    <t>V4+</t>
  </si>
  <si>
    <t>CHRISTINE BONNEY</t>
  </si>
  <si>
    <t>ROSALIND REYNOLDS</t>
  </si>
  <si>
    <t>ROSS ASKANAZI</t>
  </si>
  <si>
    <t>CHRISTOPHER BRYAN</t>
  </si>
  <si>
    <t>MICHAEL DISTEFANO</t>
  </si>
  <si>
    <t>NITIN GUPTA</t>
  </si>
  <si>
    <t>DANIEL SHANKS</t>
  </si>
  <si>
    <t>KYLE FRING</t>
  </si>
  <si>
    <t>ROBERT TERRELL</t>
  </si>
  <si>
    <t>GARRETT GOON</t>
  </si>
  <si>
    <t>MICHAEL ALLEGREZZA</t>
  </si>
  <si>
    <t>JASON FERNANDES</t>
  </si>
  <si>
    <t>ELIZABETH GAULDING</t>
  </si>
  <si>
    <t>TAKANE SHOJI</t>
  </si>
  <si>
    <t>ALEX THURSTON</t>
  </si>
  <si>
    <t>WILLIAM WANG</t>
  </si>
  <si>
    <t>IAN PROUD</t>
  </si>
  <si>
    <t>CAITLYN YOUNGSTER</t>
  </si>
  <si>
    <t>TRAVIS LOGENBACH</t>
  </si>
  <si>
    <t>V0</t>
  </si>
  <si>
    <t>V1</t>
  </si>
  <si>
    <t>V2</t>
  </si>
  <si>
    <t>V3</t>
  </si>
  <si>
    <t>V4</t>
  </si>
  <si>
    <t>V5</t>
  </si>
  <si>
    <t>V6</t>
  </si>
  <si>
    <t>V7</t>
  </si>
  <si>
    <t>V8</t>
  </si>
  <si>
    <t>Total</t>
  </si>
  <si>
    <t>STEVEN NEFF</t>
  </si>
  <si>
    <t>JEREMY LITTLE</t>
  </si>
  <si>
    <t>JAMES MANNING</t>
  </si>
  <si>
    <t>TALIAH KURYLAK</t>
  </si>
  <si>
    <t>DEL TECH</t>
  </si>
  <si>
    <t>KYLE SHEPHARD</t>
  </si>
  <si>
    <t>ISAAC CARRUTHERS</t>
  </si>
  <si>
    <t>KIM KUOCH</t>
  </si>
  <si>
    <t>DENNY WILLGOOSE</t>
  </si>
  <si>
    <t>BENNET HOVER</t>
  </si>
  <si>
    <t>SEAN O'CONNER</t>
  </si>
  <si>
    <t>DONALD LETTS</t>
  </si>
  <si>
    <t>KRISTINA IMPERIA</t>
  </si>
  <si>
    <t>MATT LAPES</t>
  </si>
  <si>
    <t>STEVEN PRICE</t>
  </si>
  <si>
    <t>DIAMOND MAURIELL</t>
  </si>
  <si>
    <t>ERIK ZALITE</t>
  </si>
  <si>
    <t>ARIEL  ENDRESS</t>
  </si>
  <si>
    <t>RONNY WALSH</t>
  </si>
  <si>
    <t>RITA ANTOSIK</t>
  </si>
  <si>
    <t>ANYA KOSTERINA</t>
  </si>
  <si>
    <t>SCOTT JEFFERS</t>
  </si>
  <si>
    <t>Grand Total</t>
  </si>
  <si>
    <t>TYR HOLMSTROM</t>
  </si>
  <si>
    <t>Finals Results</t>
  </si>
  <si>
    <t>Womens</t>
  </si>
  <si>
    <t>Mens</t>
  </si>
  <si>
    <t>Tyler Devilbiss</t>
  </si>
  <si>
    <t>Etham Quanci</t>
  </si>
  <si>
    <t>Steve Neff</t>
  </si>
  <si>
    <t>Jeremy Little</t>
  </si>
  <si>
    <t>Isaac Carrithers</t>
  </si>
  <si>
    <t>Liz Long</t>
  </si>
  <si>
    <t>Ariel Endress</t>
  </si>
  <si>
    <t>Taliah Kurylak</t>
  </si>
  <si>
    <t>Karen Yee</t>
  </si>
  <si>
    <t>Kim Kuoch</t>
  </si>
  <si>
    <t>Drexel</t>
  </si>
  <si>
    <t>Upenn</t>
  </si>
  <si>
    <t>Del Tech</t>
  </si>
  <si>
    <t>UDel</t>
  </si>
  <si>
    <t>Division Winner</t>
  </si>
  <si>
    <t>Drexel/Upenn</t>
  </si>
  <si>
    <t>UPenn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</si>
</sst>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36"/>
      <color theme="9"/>
      <name val="Berlin Sans FB Demi"/>
      <family val="2"/>
    </font>
    <font>
      <sz val="1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/>
    <xf numFmtId="0" fontId="0" fillId="0" borderId="1" xfId="0" applyFill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Protection="1"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3" fillId="0" borderId="1" xfId="0" applyFont="1" applyBorder="1" applyAlignment="1" applyProtection="1">
      <alignment horizontal="left"/>
    </xf>
    <xf numFmtId="0" fontId="0" fillId="0" borderId="0" xfId="0" applyBorder="1" applyProtection="1"/>
    <xf numFmtId="0" fontId="0" fillId="0" borderId="0" xfId="0" applyProtection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4" fillId="0" borderId="0" xfId="0" applyFont="1" applyBorder="1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left" indent="1"/>
    </xf>
    <xf numFmtId="0" fontId="1" fillId="0" borderId="1" xfId="0" applyFont="1" applyBorder="1"/>
    <xf numFmtId="0" fontId="1" fillId="0" borderId="1" xfId="0" applyFont="1" applyBorder="1" applyProtection="1"/>
    <xf numFmtId="0" fontId="9" fillId="0" borderId="1" xfId="0" applyFont="1" applyBorder="1" applyProtection="1"/>
    <xf numFmtId="0" fontId="9" fillId="0" borderId="1" xfId="0" applyFont="1" applyBorder="1" applyAlignment="1" applyProtection="1">
      <alignment horizontal="center" vertical="center"/>
    </xf>
    <xf numFmtId="0" fontId="1" fillId="0" borderId="2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vertical="center"/>
      <protection locked="0"/>
    </xf>
    <xf numFmtId="0" fontId="2" fillId="2" borderId="4" xfId="0" applyFont="1" applyFill="1" applyBorder="1" applyAlignment="1" applyProtection="1">
      <alignment vertical="center"/>
      <protection locked="0"/>
    </xf>
    <xf numFmtId="0" fontId="9" fillId="0" borderId="2" xfId="0" applyFont="1" applyBorder="1" applyAlignment="1" applyProtection="1">
      <alignment vertical="center"/>
    </xf>
    <xf numFmtId="0" fontId="9" fillId="0" borderId="5" xfId="0" applyFont="1" applyBorder="1" applyAlignment="1" applyProtection="1">
      <alignment vertical="center"/>
    </xf>
    <xf numFmtId="0" fontId="9" fillId="0" borderId="6" xfId="0" applyFont="1" applyBorder="1" applyAlignment="1" applyProtection="1">
      <alignment vertical="center"/>
    </xf>
    <xf numFmtId="0" fontId="0" fillId="0" borderId="1" xfId="0" applyBorder="1" applyProtection="1">
      <protection locked="0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 applyProtection="1">
      <protection locked="0"/>
    </xf>
    <xf numFmtId="0" fontId="1" fillId="0" borderId="1" xfId="0" applyFont="1" applyBorder="1" applyAlignment="1">
      <alignment horizontal="left"/>
    </xf>
    <xf numFmtId="0" fontId="4" fillId="0" borderId="0" xfId="0" applyFont="1" applyAlignment="1">
      <alignment horizontal="left" indent="1"/>
    </xf>
    <xf numFmtId="0" fontId="4" fillId="0" borderId="0" xfId="0" applyNumberFormat="1" applyFont="1"/>
    <xf numFmtId="0" fontId="0" fillId="0" borderId="0" xfId="0" applyAlignment="1">
      <alignment horizontal="center"/>
    </xf>
    <xf numFmtId="0" fontId="0" fillId="0" borderId="0" xfId="0" applyBorder="1"/>
    <xf numFmtId="0" fontId="13" fillId="0" borderId="0" xfId="0" applyFont="1" applyAlignment="1">
      <alignment horizontal="left" vertical="center" wrapText="1" indent="1"/>
    </xf>
    <xf numFmtId="0" fontId="0" fillId="0" borderId="2" xfId="0" applyBorder="1" applyAlignment="1">
      <alignment horizontal="center"/>
    </xf>
    <xf numFmtId="0" fontId="0" fillId="0" borderId="7" xfId="0" applyBorder="1"/>
    <xf numFmtId="0" fontId="4" fillId="0" borderId="1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13"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oshua Brunton" refreshedDate="41601.724223263889" createdVersion="4" refreshedVersion="4" minRefreshableVersion="3" recordCount="80">
  <cacheSource type="worksheet">
    <worksheetSource ref="B3:H83" sheet="Climber Records"/>
  </cacheSource>
  <cacheFields count="7">
    <cacheField name="Paid" numFmtId="0">
      <sharedItems containsBlank="1" count="2">
        <s v="YES"/>
        <m/>
      </sharedItems>
    </cacheField>
    <cacheField name="School" numFmtId="0">
      <sharedItems containsBlank="1" count="5">
        <s v="UPENN"/>
        <s v="DU"/>
        <m/>
        <s v="UDEL"/>
        <s v="DEL TECH"/>
      </sharedItems>
    </cacheField>
    <cacheField name="Gender, M/W" numFmtId="0">
      <sharedItems containsBlank="1" count="3">
        <s v="M"/>
        <s v="W"/>
        <m/>
      </sharedItems>
    </cacheField>
    <cacheField name="Climber Name" numFmtId="0">
      <sharedItems containsBlank="1" count="64">
        <s v="ALEX THURSTON"/>
        <s v="ANDREA LOVERINCEVIC"/>
        <s v="AUSTIN ALEXANDER"/>
        <s v="BENNET HOVER"/>
        <s v="CAITLYN YOUNGSTER"/>
        <s v="CHELSEA CHAPELIERE"/>
        <s v="CHRISTINE BONNEY"/>
        <s v="CHRISTOPHER BRYAN"/>
        <s v="DANIEL SHANKS"/>
        <s v="DAVE THORNE"/>
        <s v="DAVE VENTURA"/>
        <s v="DAVID KASSIE"/>
        <s v="DENNY WILLGOOSE"/>
        <s v="DEVON KODGER"/>
        <s v="DIAMOND MAURIELL"/>
        <s v="DONALD LETTS"/>
        <s v="ELIZABETH GAULDING"/>
        <s v="ERIK ZALITE"/>
        <s v="ETHAN QUANCI"/>
        <s v="GARRETT GOON"/>
        <s v="IAN PROUD"/>
        <s v="IAN RILEY"/>
        <s v="ISAAC CARRUTHERS"/>
        <s v="JACK WILKE"/>
        <s v="JAMES MANNING"/>
        <s v="JAMES SCHRODER"/>
        <s v="JASON FERNANDES"/>
        <s v="JEREMY LITTLE"/>
        <s v="JEREMY VITAL"/>
        <s v="KAREN YEE"/>
        <s v="KIM KUOCH"/>
        <s v="KRISTAPS KANCANS"/>
        <s v="KRISTINA IMPERIA"/>
        <s v="KYLE FRING"/>
        <s v="KYLE SHEPHARD"/>
        <s v="LIZ LONG"/>
        <s v="MATT LAPES"/>
        <s v="MATTHEW BUI"/>
        <s v="MICHAEL ALLEGREZZA"/>
        <s v="MICHAEL DISTEFANO"/>
        <s v="MICHAEL SANGILLO"/>
        <s v="NEIL CASTELINO"/>
        <s v="TYR HOLMSTROM"/>
        <s v="NITIN GUPTA"/>
        <s v="ROBERT TERRELL"/>
        <s v="ROSALIND REYNOLDS"/>
        <s v="ROSS ASKANAZI"/>
        <s v="RYAN RUE"/>
        <s v="SEAN O'CONNER"/>
        <s v="STEVEN NEFF"/>
        <s v="STEVEN PRICE"/>
        <s v="TAKANE SHOJI"/>
        <s v="TALIAH KURYLAK"/>
        <s v="TAYLOR CLARK"/>
        <s v="TRAVIS LOGENBACH"/>
        <s v="TYLER DEVILBISS"/>
        <s v="WILLIAM WANG"/>
        <s v="ARIEL  ENDRESS"/>
        <s v="RONNY WALSH"/>
        <s v="RITA ANTOSIK"/>
        <s v="ANYA KOSTERINA"/>
        <s v="SCOTT JEFFERS"/>
        <m/>
        <s v="NICHOLAS GALITZKI" u="1"/>
      </sharedItems>
    </cacheField>
    <cacheField name="Division" numFmtId="0">
      <sharedItems count="8">
        <s v="MI"/>
        <s v="WB"/>
        <s v="MA"/>
        <s v="WI"/>
        <s v="MB"/>
        <s v="WA"/>
        <b v="0"/>
        <e v="#NUM!" u="1"/>
      </sharedItems>
    </cacheField>
    <cacheField name="Overall Ranking" numFmtId="0">
      <sharedItems containsMixedTypes="1" containsNumber="1" containsInteger="1" minValue="1" maxValue="44"/>
    </cacheField>
    <cacheField name="Score Total" numFmtId="0">
      <sharedItems containsSemiMixedTypes="0" containsString="0" containsNumber="1" containsInteger="1" minValue="0" maxValue="389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80">
  <r>
    <x v="0"/>
    <x v="0"/>
    <x v="0"/>
    <x v="0"/>
    <x v="0"/>
    <n v="28"/>
    <n v="1748"/>
  </r>
  <r>
    <x v="0"/>
    <x v="1"/>
    <x v="1"/>
    <x v="1"/>
    <x v="1"/>
    <n v="44"/>
    <n v="0"/>
  </r>
  <r>
    <x v="0"/>
    <x v="1"/>
    <x v="0"/>
    <x v="2"/>
    <x v="2"/>
    <n v="20"/>
    <n v="2046"/>
  </r>
  <r>
    <x v="0"/>
    <x v="2"/>
    <x v="0"/>
    <x v="3"/>
    <x v="0"/>
    <n v="27"/>
    <n v="1777"/>
  </r>
  <r>
    <x v="0"/>
    <x v="1"/>
    <x v="1"/>
    <x v="4"/>
    <x v="3"/>
    <n v="29"/>
    <n v="1739"/>
  </r>
  <r>
    <x v="0"/>
    <x v="1"/>
    <x v="1"/>
    <x v="5"/>
    <x v="1"/>
    <n v="44"/>
    <n v="0"/>
  </r>
  <r>
    <x v="0"/>
    <x v="0"/>
    <x v="1"/>
    <x v="6"/>
    <x v="3"/>
    <n v="39"/>
    <n v="1195"/>
  </r>
  <r>
    <x v="0"/>
    <x v="0"/>
    <x v="0"/>
    <x v="7"/>
    <x v="2"/>
    <n v="8"/>
    <n v="2540"/>
  </r>
  <r>
    <x v="0"/>
    <x v="0"/>
    <x v="0"/>
    <x v="8"/>
    <x v="0"/>
    <n v="30"/>
    <n v="1706"/>
  </r>
  <r>
    <x v="0"/>
    <x v="1"/>
    <x v="0"/>
    <x v="9"/>
    <x v="4"/>
    <n v="44"/>
    <n v="0"/>
  </r>
  <r>
    <x v="0"/>
    <x v="1"/>
    <x v="0"/>
    <x v="10"/>
    <x v="2"/>
    <n v="14"/>
    <n v="2264"/>
  </r>
  <r>
    <x v="0"/>
    <x v="1"/>
    <x v="0"/>
    <x v="11"/>
    <x v="2"/>
    <n v="9"/>
    <n v="2516"/>
  </r>
  <r>
    <x v="0"/>
    <x v="1"/>
    <x v="0"/>
    <x v="12"/>
    <x v="2"/>
    <n v="10"/>
    <n v="2515"/>
  </r>
  <r>
    <x v="0"/>
    <x v="1"/>
    <x v="0"/>
    <x v="13"/>
    <x v="0"/>
    <n v="25"/>
    <n v="1807"/>
  </r>
  <r>
    <x v="0"/>
    <x v="2"/>
    <x v="0"/>
    <x v="14"/>
    <x v="2"/>
    <n v="5"/>
    <n v="2980"/>
  </r>
  <r>
    <x v="0"/>
    <x v="2"/>
    <x v="0"/>
    <x v="15"/>
    <x v="0"/>
    <n v="31"/>
    <n v="1641"/>
  </r>
  <r>
    <x v="0"/>
    <x v="0"/>
    <x v="1"/>
    <x v="16"/>
    <x v="3"/>
    <n v="38"/>
    <n v="1250"/>
  </r>
  <r>
    <x v="0"/>
    <x v="1"/>
    <x v="0"/>
    <x v="17"/>
    <x v="0"/>
    <n v="34"/>
    <n v="1471"/>
  </r>
  <r>
    <x v="0"/>
    <x v="1"/>
    <x v="0"/>
    <x v="18"/>
    <x v="2"/>
    <n v="3"/>
    <n v="3320"/>
  </r>
  <r>
    <x v="0"/>
    <x v="0"/>
    <x v="0"/>
    <x v="19"/>
    <x v="4"/>
    <n v="36"/>
    <n v="1380"/>
  </r>
  <r>
    <x v="0"/>
    <x v="1"/>
    <x v="0"/>
    <x v="20"/>
    <x v="0"/>
    <n v="32"/>
    <n v="1600"/>
  </r>
  <r>
    <x v="0"/>
    <x v="1"/>
    <x v="0"/>
    <x v="21"/>
    <x v="2"/>
    <n v="18"/>
    <n v="2188"/>
  </r>
  <r>
    <x v="0"/>
    <x v="0"/>
    <x v="0"/>
    <x v="22"/>
    <x v="2"/>
    <n v="2"/>
    <n v="3350"/>
  </r>
  <r>
    <x v="0"/>
    <x v="1"/>
    <x v="0"/>
    <x v="23"/>
    <x v="2"/>
    <n v="4"/>
    <n v="3266"/>
  </r>
  <r>
    <x v="0"/>
    <x v="3"/>
    <x v="0"/>
    <x v="24"/>
    <x v="2"/>
    <n v="16"/>
    <n v="2206"/>
  </r>
  <r>
    <x v="0"/>
    <x v="1"/>
    <x v="0"/>
    <x v="25"/>
    <x v="2"/>
    <n v="7"/>
    <n v="2912"/>
  </r>
  <r>
    <x v="0"/>
    <x v="0"/>
    <x v="0"/>
    <x v="26"/>
    <x v="4"/>
    <n v="42"/>
    <n v="935"/>
  </r>
  <r>
    <x v="0"/>
    <x v="3"/>
    <x v="0"/>
    <x v="27"/>
    <x v="2"/>
    <n v="1"/>
    <n v="3828"/>
  </r>
  <r>
    <x v="0"/>
    <x v="1"/>
    <x v="0"/>
    <x v="28"/>
    <x v="2"/>
    <n v="12"/>
    <n v="2305"/>
  </r>
  <r>
    <x v="0"/>
    <x v="1"/>
    <x v="1"/>
    <x v="29"/>
    <x v="5"/>
    <n v="23"/>
    <n v="1919"/>
  </r>
  <r>
    <x v="0"/>
    <x v="0"/>
    <x v="1"/>
    <x v="30"/>
    <x v="5"/>
    <n v="21"/>
    <n v="1978"/>
  </r>
  <r>
    <x v="0"/>
    <x v="1"/>
    <x v="0"/>
    <x v="31"/>
    <x v="4"/>
    <n v="44"/>
    <n v="0"/>
  </r>
  <r>
    <x v="0"/>
    <x v="1"/>
    <x v="1"/>
    <x v="32"/>
    <x v="1"/>
    <n v="43"/>
    <n v="686"/>
  </r>
  <r>
    <x v="0"/>
    <x v="2"/>
    <x v="0"/>
    <x v="33"/>
    <x v="4"/>
    <n v="44"/>
    <n v="0"/>
  </r>
  <r>
    <x v="0"/>
    <x v="0"/>
    <x v="0"/>
    <x v="34"/>
    <x v="2"/>
    <n v="6"/>
    <n v="2925"/>
  </r>
  <r>
    <x v="0"/>
    <x v="1"/>
    <x v="1"/>
    <x v="35"/>
    <x v="5"/>
    <n v="19"/>
    <n v="2100"/>
  </r>
  <r>
    <x v="0"/>
    <x v="2"/>
    <x v="0"/>
    <x v="36"/>
    <x v="4"/>
    <n v="41"/>
    <n v="949"/>
  </r>
  <r>
    <x v="0"/>
    <x v="1"/>
    <x v="0"/>
    <x v="37"/>
    <x v="4"/>
    <n v="40"/>
    <n v="1081"/>
  </r>
  <r>
    <x v="0"/>
    <x v="0"/>
    <x v="0"/>
    <x v="38"/>
    <x v="2"/>
    <n v="13"/>
    <n v="2270"/>
  </r>
  <r>
    <x v="0"/>
    <x v="0"/>
    <x v="0"/>
    <x v="39"/>
    <x v="2"/>
    <n v="17"/>
    <n v="2200"/>
  </r>
  <r>
    <x v="0"/>
    <x v="1"/>
    <x v="0"/>
    <x v="40"/>
    <x v="0"/>
    <n v="33"/>
    <n v="1547"/>
  </r>
  <r>
    <x v="0"/>
    <x v="1"/>
    <x v="0"/>
    <x v="41"/>
    <x v="4"/>
    <n v="35"/>
    <n v="1386"/>
  </r>
  <r>
    <x v="0"/>
    <x v="0"/>
    <x v="0"/>
    <x v="42"/>
    <x v="2"/>
    <n v="11"/>
    <n v="2360"/>
  </r>
  <r>
    <x v="0"/>
    <x v="0"/>
    <x v="0"/>
    <x v="43"/>
    <x v="2"/>
    <n v="22"/>
    <n v="1955"/>
  </r>
  <r>
    <x v="0"/>
    <x v="0"/>
    <x v="0"/>
    <x v="44"/>
    <x v="4"/>
    <n v="37"/>
    <n v="1312"/>
  </r>
  <r>
    <x v="0"/>
    <x v="0"/>
    <x v="1"/>
    <x v="45"/>
    <x v="5"/>
    <n v="24"/>
    <n v="1836"/>
  </r>
  <r>
    <x v="0"/>
    <x v="0"/>
    <x v="0"/>
    <x v="46"/>
    <x v="0"/>
    <n v="26"/>
    <n v="1797"/>
  </r>
  <r>
    <x v="0"/>
    <x v="1"/>
    <x v="0"/>
    <x v="47"/>
    <x v="2"/>
    <n v="15"/>
    <n v="2231"/>
  </r>
  <r>
    <x v="0"/>
    <x v="1"/>
    <x v="0"/>
    <x v="48"/>
    <x v="2"/>
    <e v="#N/A"/>
    <n v="1913"/>
  </r>
  <r>
    <x v="0"/>
    <x v="2"/>
    <x v="0"/>
    <x v="49"/>
    <x v="2"/>
    <e v="#N/A"/>
    <n v="3895"/>
  </r>
  <r>
    <x v="0"/>
    <x v="2"/>
    <x v="0"/>
    <x v="50"/>
    <x v="2"/>
    <e v="#N/A"/>
    <n v="2222"/>
  </r>
  <r>
    <x v="0"/>
    <x v="0"/>
    <x v="0"/>
    <x v="51"/>
    <x v="4"/>
    <e v="#N/A"/>
    <n v="1152"/>
  </r>
  <r>
    <x v="0"/>
    <x v="4"/>
    <x v="1"/>
    <x v="52"/>
    <x v="5"/>
    <e v="#N/A"/>
    <n v="2020"/>
  </r>
  <r>
    <x v="0"/>
    <x v="1"/>
    <x v="0"/>
    <x v="53"/>
    <x v="4"/>
    <e v="#N/A"/>
    <n v="876"/>
  </r>
  <r>
    <x v="0"/>
    <x v="1"/>
    <x v="0"/>
    <x v="54"/>
    <x v="2"/>
    <e v="#N/A"/>
    <n v="2089"/>
  </r>
  <r>
    <x v="0"/>
    <x v="1"/>
    <x v="0"/>
    <x v="55"/>
    <x v="2"/>
    <e v="#N/A"/>
    <n v="3613"/>
  </r>
  <r>
    <x v="0"/>
    <x v="1"/>
    <x v="0"/>
    <x v="56"/>
    <x v="4"/>
    <e v="#N/A"/>
    <n v="77"/>
  </r>
  <r>
    <x v="0"/>
    <x v="1"/>
    <x v="1"/>
    <x v="57"/>
    <x v="5"/>
    <e v="#N/A"/>
    <n v="2179"/>
  </r>
  <r>
    <x v="0"/>
    <x v="2"/>
    <x v="0"/>
    <x v="58"/>
    <x v="0"/>
    <e v="#N/A"/>
    <n v="1656"/>
  </r>
  <r>
    <x v="0"/>
    <x v="1"/>
    <x v="1"/>
    <x v="59"/>
    <x v="1"/>
    <e v="#N/A"/>
    <n v="455"/>
  </r>
  <r>
    <x v="0"/>
    <x v="0"/>
    <x v="1"/>
    <x v="60"/>
    <x v="1"/>
    <e v="#N/A"/>
    <n v="131"/>
  </r>
  <r>
    <x v="0"/>
    <x v="1"/>
    <x v="0"/>
    <x v="61"/>
    <x v="2"/>
    <e v="#N/A"/>
    <n v="3209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  <r>
    <x v="1"/>
    <x v="2"/>
    <x v="2"/>
    <x v="62"/>
    <x v="6"/>
    <n v="44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gridDropZones="1" multipleFieldFilters="0">
  <location ref="A5:B77" firstHeaderRow="2" firstDataRow="2" firstDataCol="1" rowPageCount="3" colPageCount="1"/>
  <pivotFields count="7">
    <pivotField axis="axisPage" showAll="0">
      <items count="3">
        <item x="0"/>
        <item x="1"/>
        <item t="default"/>
      </items>
    </pivotField>
    <pivotField axis="axisPage" showAll="0">
      <items count="6">
        <item x="4"/>
        <item x="1"/>
        <item x="3"/>
        <item x="0"/>
        <item x="2"/>
        <item t="default"/>
      </items>
    </pivotField>
    <pivotField axis="axisPage" showAll="0">
      <items count="4">
        <item x="0"/>
        <item x="1"/>
        <item x="2"/>
        <item t="default"/>
      </items>
    </pivotField>
    <pivotField axis="axisRow" showAll="0">
      <items count="65">
        <item x="57"/>
        <item x="35"/>
        <item x="52"/>
        <item x="30"/>
        <item x="29"/>
        <item x="45"/>
        <item x="4"/>
        <item x="16"/>
        <item x="6"/>
        <item x="32"/>
        <item x="59"/>
        <item x="60"/>
        <item x="1"/>
        <item x="5"/>
        <item x="13"/>
        <item x="46"/>
        <item x="3"/>
        <item x="0"/>
        <item x="8"/>
        <item x="58"/>
        <item x="15"/>
        <item x="20"/>
        <item x="40"/>
        <item x="17"/>
        <item x="41"/>
        <item x="19"/>
        <item x="44"/>
        <item x="51"/>
        <item x="37"/>
        <item x="36"/>
        <item x="26"/>
        <item x="53"/>
        <item x="56"/>
        <item x="9"/>
        <item x="31"/>
        <item x="33"/>
        <item x="49"/>
        <item x="27"/>
        <item x="55"/>
        <item x="22"/>
        <item x="18"/>
        <item x="23"/>
        <item x="61"/>
        <item x="14"/>
        <item x="34"/>
        <item x="25"/>
        <item x="7"/>
        <item x="11"/>
        <item x="12"/>
        <item x="42"/>
        <item x="28"/>
        <item x="38"/>
        <item x="10"/>
        <item x="47"/>
        <item x="50"/>
        <item x="24"/>
        <item x="39"/>
        <item x="21"/>
        <item x="54"/>
        <item x="2"/>
        <item x="43"/>
        <item x="48"/>
        <item m="1" x="63"/>
        <item x="62"/>
        <item t="default"/>
      </items>
    </pivotField>
    <pivotField axis="axisRow" showAll="0">
      <items count="9">
        <item x="2"/>
        <item x="4"/>
        <item x="0"/>
        <item x="1"/>
        <item x="3"/>
        <item x="6"/>
        <item m="1" x="7"/>
        <item x="5"/>
        <item t="default"/>
      </items>
    </pivotField>
    <pivotField showAll="0"/>
    <pivotField dataField="1" showAll="0"/>
  </pivotFields>
  <rowFields count="2">
    <field x="4"/>
    <field x="3"/>
  </rowFields>
  <rowItems count="71">
    <i>
      <x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61"/>
    </i>
    <i>
      <x v="1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>
      <x v="2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>
      <x v="3"/>
    </i>
    <i r="1">
      <x v="9"/>
    </i>
    <i r="1">
      <x v="10"/>
    </i>
    <i r="1">
      <x v="11"/>
    </i>
    <i r="1">
      <x v="12"/>
    </i>
    <i r="1">
      <x v="13"/>
    </i>
    <i>
      <x v="4"/>
    </i>
    <i r="1">
      <x v="6"/>
    </i>
    <i r="1">
      <x v="7"/>
    </i>
    <i r="1">
      <x v="8"/>
    </i>
    <i>
      <x v="5"/>
    </i>
    <i r="1">
      <x v="63"/>
    </i>
    <i>
      <x v="7"/>
    </i>
    <i r="1">
      <x/>
    </i>
    <i r="1">
      <x v="1"/>
    </i>
    <i r="1">
      <x v="2"/>
    </i>
    <i r="1">
      <x v="3"/>
    </i>
    <i r="1">
      <x v="4"/>
    </i>
    <i r="1">
      <x v="5"/>
    </i>
    <i t="grand">
      <x/>
    </i>
  </rowItems>
  <colItems count="1">
    <i/>
  </colItems>
  <pageFields count="3">
    <pageField fld="0" hier="-1"/>
    <pageField fld="2" hier="-1"/>
    <pageField fld="1" hier="-1"/>
  </pageFields>
  <dataFields count="1">
    <dataField name="Sum of Score Total" fld="6" baseField="0" baseItem="0"/>
  </dataFields>
  <formats count="12">
    <format dxfId="12">
      <pivotArea collapsedLevelsAreSubtotals="1" fieldPosition="0">
        <references count="2">
          <reference field="3" count="5">
            <x v="36"/>
            <x v="37"/>
            <x v="38"/>
            <x v="39"/>
            <x v="40"/>
          </reference>
          <reference field="4" count="1" selected="0">
            <x v="0"/>
          </reference>
        </references>
      </pivotArea>
    </format>
    <format dxfId="11">
      <pivotArea dataOnly="0" labelOnly="1" fieldPosition="0">
        <references count="2">
          <reference field="3" count="5">
            <x v="36"/>
            <x v="37"/>
            <x v="38"/>
            <x v="39"/>
            <x v="40"/>
          </reference>
          <reference field="4" count="1" selected="0">
            <x v="0"/>
          </reference>
        </references>
      </pivotArea>
    </format>
    <format dxfId="10">
      <pivotArea collapsedLevelsAreSubtotals="1" fieldPosition="0">
        <references count="2">
          <reference field="3" count="3">
            <x v="24"/>
            <x v="25"/>
            <x v="26"/>
          </reference>
          <reference field="4" count="1" selected="0">
            <x v="1"/>
          </reference>
        </references>
      </pivotArea>
    </format>
    <format dxfId="9">
      <pivotArea dataOnly="0" labelOnly="1" fieldPosition="0">
        <references count="2">
          <reference field="3" count="3">
            <x v="24"/>
            <x v="25"/>
            <x v="26"/>
          </reference>
          <reference field="4" count="1" selected="0">
            <x v="1"/>
          </reference>
        </references>
      </pivotArea>
    </format>
    <format dxfId="8">
      <pivotArea collapsedLevelsAreSubtotals="1" fieldPosition="0">
        <references count="2">
          <reference field="3" count="3">
            <x v="14"/>
            <x v="15"/>
            <x v="16"/>
          </reference>
          <reference field="4" count="1" selected="0">
            <x v="2"/>
          </reference>
        </references>
      </pivotArea>
    </format>
    <format dxfId="7">
      <pivotArea dataOnly="0" labelOnly="1" fieldPosition="0">
        <references count="2">
          <reference field="3" count="3">
            <x v="14"/>
            <x v="15"/>
            <x v="16"/>
          </reference>
          <reference field="4" count="1" selected="0">
            <x v="2"/>
          </reference>
        </references>
      </pivotArea>
    </format>
    <format dxfId="6">
      <pivotArea collapsedLevelsAreSubtotals="1" fieldPosition="0">
        <references count="2">
          <reference field="3" count="3">
            <x v="9"/>
            <x v="10"/>
            <x v="11"/>
          </reference>
          <reference field="4" count="1" selected="0">
            <x v="3"/>
          </reference>
        </references>
      </pivotArea>
    </format>
    <format dxfId="5">
      <pivotArea dataOnly="0" labelOnly="1" fieldPosition="0">
        <references count="2">
          <reference field="3" count="3">
            <x v="9"/>
            <x v="10"/>
            <x v="11"/>
          </reference>
          <reference field="4" count="1" selected="0">
            <x v="3"/>
          </reference>
        </references>
      </pivotArea>
    </format>
    <format dxfId="4">
      <pivotArea collapsedLevelsAreSubtotals="1" fieldPosition="0">
        <references count="2">
          <reference field="3" count="3">
            <x v="6"/>
            <x v="7"/>
            <x v="8"/>
          </reference>
          <reference field="4" count="1" selected="0">
            <x v="4"/>
          </reference>
        </references>
      </pivotArea>
    </format>
    <format dxfId="3">
      <pivotArea dataOnly="0" labelOnly="1" fieldPosition="0">
        <references count="2">
          <reference field="3" count="3">
            <x v="6"/>
            <x v="7"/>
            <x v="8"/>
          </reference>
          <reference field="4" count="1" selected="0">
            <x v="4"/>
          </reference>
        </references>
      </pivotArea>
    </format>
    <format dxfId="2">
      <pivotArea collapsedLevelsAreSubtotals="1" fieldPosition="0">
        <references count="2">
          <reference field="3" count="5">
            <x v="0"/>
            <x v="1"/>
            <x v="2"/>
            <x v="3"/>
            <x v="4"/>
          </reference>
          <reference field="4" count="1" selected="0">
            <x v="7"/>
          </reference>
        </references>
      </pivotArea>
    </format>
    <format dxfId="1">
      <pivotArea dataOnly="0" labelOnly="1" fieldPosition="0">
        <references count="2">
          <reference field="3" count="5">
            <x v="0"/>
            <x v="1"/>
            <x v="2"/>
            <x v="3"/>
            <x v="4"/>
          </reference>
          <reference field="4" count="1" selected="0">
            <x v="7"/>
          </reference>
        </references>
      </pivotArea>
    </format>
  </formats>
  <pivotTableStyleInfo name="PivotStyleDark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 enableFormatConditionsCalculation="0"/>
  <dimension ref="A1:BQ99"/>
  <sheetViews>
    <sheetView zoomScale="50" zoomScaleNormal="50" zoomScalePageLayoutView="85" workbookViewId="0">
      <pane xSplit="8" ySplit="3" topLeftCell="I4" activePane="bottomRight" state="frozen"/>
      <selection pane="topRight" activeCell="E1" sqref="E1"/>
      <selection pane="bottomLeft" activeCell="A3" sqref="A3"/>
      <selection pane="bottomRight" activeCell="H5" sqref="H5"/>
    </sheetView>
  </sheetViews>
  <sheetFormatPr defaultColWidth="8.85546875" defaultRowHeight="15" x14ac:dyDescent="0.25"/>
  <cols>
    <col min="1" max="1" width="3.7109375" customWidth="1"/>
    <col min="2" max="2" width="10.42578125" bestFit="1" customWidth="1"/>
    <col min="3" max="3" width="16.28515625" customWidth="1"/>
    <col min="4" max="4" width="24" customWidth="1"/>
    <col min="5" max="5" width="35.85546875" customWidth="1"/>
    <col min="6" max="6" width="12" customWidth="1"/>
    <col min="7" max="7" width="24.85546875" customWidth="1"/>
    <col min="8" max="8" width="19" customWidth="1"/>
    <col min="9" max="9" width="16.28515625" customWidth="1"/>
    <col min="10" max="10" width="12.42578125" customWidth="1"/>
    <col min="11" max="11" width="11.42578125" customWidth="1"/>
    <col min="12" max="12" width="12" customWidth="1"/>
    <col min="13" max="13" width="12.7109375" customWidth="1"/>
    <col min="15" max="15" width="12" bestFit="1" customWidth="1"/>
  </cols>
  <sheetData>
    <row r="1" spans="1:69" s="11" customFormat="1" x14ac:dyDescent="0.25"/>
    <row r="2" spans="1:69" s="11" customFormat="1" ht="68.25" customHeight="1" x14ac:dyDescent="0.25">
      <c r="B2" s="29"/>
      <c r="C2" s="29"/>
      <c r="D2" s="29"/>
      <c r="E2" s="29"/>
      <c r="F2" s="29" t="s">
        <v>55</v>
      </c>
      <c r="G2" s="29"/>
      <c r="H2" s="29"/>
      <c r="I2" s="29"/>
      <c r="J2" s="29"/>
      <c r="K2" s="29"/>
      <c r="L2" s="29"/>
      <c r="M2" s="30"/>
    </row>
    <row r="3" spans="1:69" s="17" customFormat="1" ht="23.25" x14ac:dyDescent="0.35">
      <c r="B3" s="26" t="s">
        <v>93</v>
      </c>
      <c r="C3" s="27" t="s">
        <v>52</v>
      </c>
      <c r="D3" s="27" t="s">
        <v>90</v>
      </c>
      <c r="E3" s="27" t="s">
        <v>53</v>
      </c>
      <c r="F3" s="27" t="s">
        <v>74</v>
      </c>
      <c r="G3" s="27" t="s">
        <v>88</v>
      </c>
      <c r="H3" s="27" t="s">
        <v>54</v>
      </c>
      <c r="I3" s="31" t="s">
        <v>87</v>
      </c>
      <c r="J3" s="32"/>
      <c r="K3" s="32"/>
      <c r="L3" s="32"/>
      <c r="M3" s="33"/>
      <c r="N3" s="16"/>
      <c r="O3" s="16"/>
      <c r="P3" s="16"/>
      <c r="Q3" s="16"/>
      <c r="R3" s="16"/>
    </row>
    <row r="4" spans="1:69" s="11" customFormat="1" ht="21" x14ac:dyDescent="0.35">
      <c r="B4" s="14" t="s">
        <v>94</v>
      </c>
      <c r="C4" s="12" t="s">
        <v>83</v>
      </c>
      <c r="D4" s="12" t="s">
        <v>12</v>
      </c>
      <c r="E4" s="12" t="s">
        <v>139</v>
      </c>
      <c r="F4" s="15" t="str">
        <f t="shared" ref="F4:F35" si="0">IF(D4=M,IF(H4&lt;=MBP,MB,IF(H4&lt;=MIP,MI,MA)),IF(D4=W,IF(H4&lt;=WBP,WB,IF(H4&lt;=WIP,WI,WA))))</f>
        <v>MI</v>
      </c>
      <c r="G4" s="25">
        <f t="shared" ref="G4:G35" si="1">RANK(H4,$H$4:$H$83,0)</f>
        <v>36</v>
      </c>
      <c r="H4" s="25">
        <f>CEILING(SUM(LARGE(I4:BH4,{1,2,3,4,5})),1)</f>
        <v>1748</v>
      </c>
      <c r="I4" s="13">
        <f>ZM*FL</f>
        <v>302.5</v>
      </c>
      <c r="J4" s="13">
        <f>ZT</f>
        <v>369</v>
      </c>
      <c r="K4" s="13">
        <f>ZDD</f>
        <v>345</v>
      </c>
      <c r="L4" s="13">
        <f>ZAA*FL</f>
        <v>324.5</v>
      </c>
      <c r="M4" s="28">
        <f>ZJJ*FL</f>
        <v>407.00000000000006</v>
      </c>
      <c r="N4" s="13"/>
      <c r="O4" s="13"/>
      <c r="P4" s="13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</row>
    <row r="5" spans="1:69" s="11" customFormat="1" ht="21" x14ac:dyDescent="0.35">
      <c r="B5" s="14" t="s">
        <v>94</v>
      </c>
      <c r="C5" s="12" t="s">
        <v>70</v>
      </c>
      <c r="D5" s="12" t="s">
        <v>22</v>
      </c>
      <c r="E5" s="12" t="s">
        <v>118</v>
      </c>
      <c r="F5" s="15" t="str">
        <f t="shared" si="0"/>
        <v>WB</v>
      </c>
      <c r="G5" s="25">
        <f t="shared" si="1"/>
        <v>58</v>
      </c>
      <c r="H5" s="25">
        <f>CEILING(SUM(LARGE(I5:BH5,{1,2,3,4,5})),1)</f>
        <v>0</v>
      </c>
      <c r="I5" s="13">
        <v>0</v>
      </c>
      <c r="J5" s="13">
        <v>0</v>
      </c>
      <c r="K5" s="13">
        <v>0</v>
      </c>
      <c r="L5" s="13">
        <v>0</v>
      </c>
      <c r="M5" s="28">
        <v>0</v>
      </c>
      <c r="N5" s="13"/>
      <c r="O5" s="13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</row>
    <row r="6" spans="1:69" s="11" customFormat="1" ht="21" x14ac:dyDescent="0.35">
      <c r="B6" s="14" t="s">
        <v>94</v>
      </c>
      <c r="C6" s="24" t="s">
        <v>83</v>
      </c>
      <c r="D6" s="36" t="s">
        <v>22</v>
      </c>
      <c r="E6" s="24" t="s">
        <v>174</v>
      </c>
      <c r="F6" s="15" t="str">
        <f t="shared" si="0"/>
        <v>WB</v>
      </c>
      <c r="G6" s="25">
        <f t="shared" si="1"/>
        <v>56</v>
      </c>
      <c r="H6" s="25">
        <f>CEILING(SUM(LARGE(I6:BH6,{1,2,3,4,5})),1)</f>
        <v>131</v>
      </c>
      <c r="I6" s="13">
        <f>ZC*FL</f>
        <v>55.000000000000007</v>
      </c>
      <c r="J6" s="13">
        <f>ZE*FL</f>
        <v>75.900000000000006</v>
      </c>
      <c r="K6" s="13">
        <v>0</v>
      </c>
      <c r="L6" s="13">
        <v>0</v>
      </c>
      <c r="M6" s="28">
        <v>0</v>
      </c>
      <c r="N6" s="34"/>
      <c r="O6" s="34"/>
      <c r="P6" s="34"/>
      <c r="Q6" s="34"/>
      <c r="R6" s="3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</row>
    <row r="7" spans="1:69" s="11" customFormat="1" ht="21" x14ac:dyDescent="0.35">
      <c r="B7" s="14" t="s">
        <v>94</v>
      </c>
      <c r="C7" s="37" t="s">
        <v>70</v>
      </c>
      <c r="D7" s="36" t="s">
        <v>22</v>
      </c>
      <c r="E7" s="24" t="s">
        <v>171</v>
      </c>
      <c r="F7" s="15" t="str">
        <f t="shared" si="0"/>
        <v>WA</v>
      </c>
      <c r="G7" s="25">
        <f t="shared" si="1"/>
        <v>23</v>
      </c>
      <c r="H7" s="25">
        <f>CEILING(SUM(LARGE(I7:BH7,{1,2,3,4,5})),1)</f>
        <v>2179</v>
      </c>
      <c r="I7" s="13">
        <f>ZPP</f>
        <v>570</v>
      </c>
      <c r="J7" s="13">
        <f>ZZ</f>
        <v>399</v>
      </c>
      <c r="K7" s="13">
        <f>ZW*FL</f>
        <v>412.50000000000006</v>
      </c>
      <c r="L7" s="13">
        <f>ZP*FL</f>
        <v>418.00000000000006</v>
      </c>
      <c r="M7" s="28">
        <f>ZJ*FL</f>
        <v>295.90000000000003</v>
      </c>
      <c r="N7" s="34">
        <f>ZDD*FL</f>
        <v>379.50000000000006</v>
      </c>
      <c r="O7" s="34"/>
      <c r="P7" s="34"/>
      <c r="Q7" s="34"/>
      <c r="R7" s="3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</row>
    <row r="8" spans="1:69" s="11" customFormat="1" ht="21" x14ac:dyDescent="0.35">
      <c r="B8" s="14" t="s">
        <v>94</v>
      </c>
      <c r="C8" s="12" t="s">
        <v>70</v>
      </c>
      <c r="D8" s="12" t="s">
        <v>12</v>
      </c>
      <c r="E8" s="12" t="s">
        <v>111</v>
      </c>
      <c r="F8" s="15" t="str">
        <f t="shared" si="0"/>
        <v>MA</v>
      </c>
      <c r="G8" s="25">
        <f t="shared" si="1"/>
        <v>26</v>
      </c>
      <c r="H8" s="25">
        <f>CEILING(SUM(LARGE(I8:BH8,{1,2,3,4,5})),1)</f>
        <v>2046</v>
      </c>
      <c r="I8" s="13">
        <f>ZG*FL</f>
        <v>133.10000000000002</v>
      </c>
      <c r="J8" s="13">
        <f>ZP*FL</f>
        <v>418.00000000000006</v>
      </c>
      <c r="K8" s="13">
        <f>ZT*FL</f>
        <v>405.90000000000003</v>
      </c>
      <c r="L8" s="13">
        <f>ZW*FL</f>
        <v>412.50000000000006</v>
      </c>
      <c r="M8" s="28">
        <f>ZZ*FL</f>
        <v>438.90000000000003</v>
      </c>
      <c r="N8" s="14">
        <f>ZJJ</f>
        <v>370</v>
      </c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</row>
    <row r="9" spans="1:69" s="11" customFormat="1" ht="21" x14ac:dyDescent="0.35">
      <c r="B9" s="36" t="s">
        <v>94</v>
      </c>
      <c r="C9" s="24"/>
      <c r="D9" s="24" t="s">
        <v>12</v>
      </c>
      <c r="E9" s="24" t="s">
        <v>163</v>
      </c>
      <c r="F9" s="15" t="str">
        <f t="shared" si="0"/>
        <v>MI</v>
      </c>
      <c r="G9" s="25">
        <f t="shared" si="1"/>
        <v>35</v>
      </c>
      <c r="H9" s="25">
        <f>CEILING(SUM(LARGE(I9:BH9,{1,2,3,4,5})),1)</f>
        <v>1777</v>
      </c>
      <c r="I9" s="13">
        <f>ZE*FL</f>
        <v>75.900000000000006</v>
      </c>
      <c r="J9" s="13">
        <f>ZQ*FL</f>
        <v>319</v>
      </c>
      <c r="K9" s="13">
        <f>ZAA*FL</f>
        <v>324.5</v>
      </c>
      <c r="L9" s="13">
        <f>ZM*FL</f>
        <v>302.5</v>
      </c>
      <c r="M9" s="28">
        <f>ZJ*FL</f>
        <v>295.90000000000003</v>
      </c>
      <c r="N9" s="14">
        <f>ZP*FL</f>
        <v>418.00000000000006</v>
      </c>
      <c r="O9" s="14">
        <f>ZW*FL</f>
        <v>412.50000000000006</v>
      </c>
      <c r="P9" s="14">
        <f>ZX*FL</f>
        <v>286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</row>
    <row r="10" spans="1:69" s="11" customFormat="1" ht="21" x14ac:dyDescent="0.35">
      <c r="B10" s="14" t="s">
        <v>94</v>
      </c>
      <c r="C10" s="12" t="s">
        <v>70</v>
      </c>
      <c r="D10" s="12" t="s">
        <v>22</v>
      </c>
      <c r="E10" s="12" t="s">
        <v>142</v>
      </c>
      <c r="F10" s="15" t="str">
        <f t="shared" si="0"/>
        <v>WI</v>
      </c>
      <c r="G10" s="25">
        <f t="shared" si="1"/>
        <v>37</v>
      </c>
      <c r="H10" s="25">
        <f>CEILING(SUM(LARGE(I10:BH10,{1,2,3,4,5})),1)</f>
        <v>1739</v>
      </c>
      <c r="I10" s="13">
        <f>ZK*FL</f>
        <v>157.30000000000001</v>
      </c>
      <c r="J10" s="13">
        <f>ZI*FL</f>
        <v>185.9</v>
      </c>
      <c r="K10" s="13">
        <f>ZN*FL</f>
        <v>313.5</v>
      </c>
      <c r="L10" s="13">
        <f>ZJJ*FL</f>
        <v>407.00000000000006</v>
      </c>
      <c r="M10" s="28">
        <f>ZDD*FL</f>
        <v>379.50000000000006</v>
      </c>
      <c r="N10" s="14">
        <f>ZAA*FL</f>
        <v>324.5</v>
      </c>
      <c r="O10" s="14">
        <v>314</v>
      </c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</row>
    <row r="11" spans="1:69" s="11" customFormat="1" ht="21" x14ac:dyDescent="0.35">
      <c r="B11" s="14" t="s">
        <v>94</v>
      </c>
      <c r="C11" s="12" t="s">
        <v>70</v>
      </c>
      <c r="D11" s="12" t="s">
        <v>22</v>
      </c>
      <c r="E11" s="12" t="s">
        <v>106</v>
      </c>
      <c r="F11" s="15" t="str">
        <f t="shared" si="0"/>
        <v>WB</v>
      </c>
      <c r="G11" s="25">
        <f t="shared" si="1"/>
        <v>58</v>
      </c>
      <c r="H11" s="25">
        <f>CEILING(SUM(LARGE(I11:BH11,{1,2,3,4,5})),1)</f>
        <v>0</v>
      </c>
      <c r="I11" s="13">
        <v>0</v>
      </c>
      <c r="J11" s="13">
        <v>0</v>
      </c>
      <c r="K11" s="13">
        <v>0</v>
      </c>
      <c r="L11" s="13">
        <v>0</v>
      </c>
      <c r="M11" s="28">
        <v>0</v>
      </c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</row>
    <row r="12" spans="1:69" s="11" customFormat="1" ht="21" x14ac:dyDescent="0.35">
      <c r="A12"/>
      <c r="B12" s="14" t="s">
        <v>94</v>
      </c>
      <c r="C12" s="12" t="s">
        <v>83</v>
      </c>
      <c r="D12" s="12" t="s">
        <v>22</v>
      </c>
      <c r="E12" s="12" t="s">
        <v>125</v>
      </c>
      <c r="F12" s="15" t="str">
        <f t="shared" si="0"/>
        <v>WI</v>
      </c>
      <c r="G12" s="25">
        <f t="shared" si="1"/>
        <v>48</v>
      </c>
      <c r="H12" s="25">
        <f>CEILING(SUM(LARGE(I12:BH12,{1,2,3,4,5})),1)</f>
        <v>1195</v>
      </c>
      <c r="I12" s="13">
        <f>ZA*FL</f>
        <v>77</v>
      </c>
      <c r="J12" s="13">
        <f>ZD*FL</f>
        <v>88</v>
      </c>
      <c r="K12" s="13">
        <f>ZG*FL</f>
        <v>133.10000000000002</v>
      </c>
      <c r="L12" s="13">
        <f>ZJ</f>
        <v>269</v>
      </c>
      <c r="M12" s="28">
        <f>ZL*FL</f>
        <v>198.00000000000003</v>
      </c>
      <c r="N12" s="14">
        <f>ZAA*FL</f>
        <v>324.5</v>
      </c>
      <c r="O12" s="14">
        <f>ZX</f>
        <v>260</v>
      </c>
      <c r="P12" s="14">
        <f>ZK</f>
        <v>143</v>
      </c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</row>
    <row r="13" spans="1:69" s="11" customFormat="1" ht="21" x14ac:dyDescent="0.35">
      <c r="A13"/>
      <c r="B13" s="14" t="s">
        <v>94</v>
      </c>
      <c r="C13" s="24" t="s">
        <v>83</v>
      </c>
      <c r="D13" s="12" t="s">
        <v>12</v>
      </c>
      <c r="E13" s="12" t="s">
        <v>128</v>
      </c>
      <c r="F13" s="15" t="str">
        <f t="shared" si="0"/>
        <v>MA</v>
      </c>
      <c r="G13" s="25">
        <f t="shared" si="1"/>
        <v>11</v>
      </c>
      <c r="H13" s="25">
        <f>CEILING(SUM(LARGE(I13:BH13,{1,2,3,4,5})),1)</f>
        <v>2540</v>
      </c>
      <c r="I13" s="13">
        <f>ZN*FL</f>
        <v>313.5</v>
      </c>
      <c r="J13" s="13">
        <f>ZW</f>
        <v>375</v>
      </c>
      <c r="K13" s="13">
        <f>ZCC</f>
        <v>469</v>
      </c>
      <c r="L13" s="13">
        <f>ZII*FL</f>
        <v>533.5</v>
      </c>
      <c r="M13" s="28">
        <f>ZJJ*FL</f>
        <v>407.00000000000006</v>
      </c>
      <c r="N13" s="14">
        <f>ZPP</f>
        <v>570</v>
      </c>
      <c r="O13" s="14">
        <f>ZOO</f>
        <v>560</v>
      </c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</row>
    <row r="14" spans="1:69" s="11" customFormat="1" ht="21" x14ac:dyDescent="0.35">
      <c r="A14"/>
      <c r="B14" s="14" t="s">
        <v>94</v>
      </c>
      <c r="C14" s="12" t="s">
        <v>83</v>
      </c>
      <c r="D14" s="12" t="s">
        <v>12</v>
      </c>
      <c r="E14" s="12" t="s">
        <v>131</v>
      </c>
      <c r="F14" s="15" t="str">
        <f t="shared" si="0"/>
        <v>MI</v>
      </c>
      <c r="G14" s="25">
        <f t="shared" si="1"/>
        <v>38</v>
      </c>
      <c r="H14" s="25">
        <f>CEILING(SUM(LARGE(I14:BH14,{1,2,3,4,5})),1)</f>
        <v>1706</v>
      </c>
      <c r="I14" s="13">
        <f>ZF*FL</f>
        <v>121.00000000000001</v>
      </c>
      <c r="J14" s="13">
        <f>ZO</f>
        <v>195</v>
      </c>
      <c r="K14" s="13">
        <f>ZX*FL</f>
        <v>286</v>
      </c>
      <c r="L14" s="13">
        <f>ZAA*FL</f>
        <v>324.5</v>
      </c>
      <c r="M14" s="28">
        <f>ZN*FL</f>
        <v>313.5</v>
      </c>
      <c r="N14" s="14">
        <f>ZW*FL</f>
        <v>412.50000000000006</v>
      </c>
      <c r="O14" s="14">
        <f>ZT</f>
        <v>369</v>
      </c>
      <c r="P14" s="14">
        <f>ZU*FL</f>
        <v>275</v>
      </c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</row>
    <row r="15" spans="1:69" s="11" customFormat="1" ht="21" x14ac:dyDescent="0.35">
      <c r="A15"/>
      <c r="B15" s="14" t="s">
        <v>94</v>
      </c>
      <c r="C15" s="12" t="s">
        <v>70</v>
      </c>
      <c r="D15" s="12" t="s">
        <v>12</v>
      </c>
      <c r="E15" s="12" t="s">
        <v>112</v>
      </c>
      <c r="F15" s="15" t="str">
        <f t="shared" si="0"/>
        <v>MB</v>
      </c>
      <c r="G15" s="25">
        <f t="shared" si="1"/>
        <v>58</v>
      </c>
      <c r="H15" s="25">
        <f>CEILING(SUM(LARGE(I15:BH15,{1,2,3,4,5})),1)</f>
        <v>0</v>
      </c>
      <c r="I15" s="13">
        <v>0</v>
      </c>
      <c r="J15" s="13">
        <v>0</v>
      </c>
      <c r="K15" s="13">
        <v>0</v>
      </c>
      <c r="L15" s="13">
        <v>0</v>
      </c>
      <c r="M15" s="28">
        <v>0</v>
      </c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</row>
    <row r="16" spans="1:69" s="11" customFormat="1" ht="21" x14ac:dyDescent="0.35">
      <c r="A16"/>
      <c r="B16" s="14" t="s">
        <v>94</v>
      </c>
      <c r="C16" s="12" t="s">
        <v>70</v>
      </c>
      <c r="D16" s="12" t="s">
        <v>12</v>
      </c>
      <c r="E16" s="12" t="s">
        <v>109</v>
      </c>
      <c r="F16" s="15" t="str">
        <f t="shared" si="0"/>
        <v>MA</v>
      </c>
      <c r="G16" s="25">
        <f t="shared" si="1"/>
        <v>17</v>
      </c>
      <c r="H16" s="25">
        <f>CEILING(SUM(LARGE(I16:BH16,{1,2,3,4,5})),1)</f>
        <v>2264</v>
      </c>
      <c r="I16" s="13">
        <f>ZP*FL</f>
        <v>418.00000000000006</v>
      </c>
      <c r="J16" s="13">
        <f>ZW*FL</f>
        <v>412.50000000000006</v>
      </c>
      <c r="K16" s="13">
        <f>ZZ</f>
        <v>399</v>
      </c>
      <c r="L16" s="13">
        <f>ZJJ*FL</f>
        <v>407.00000000000006</v>
      </c>
      <c r="M16" s="28">
        <f>ZDD*FL</f>
        <v>379.50000000000006</v>
      </c>
      <c r="N16" s="14">
        <f>ZPP*FL</f>
        <v>627</v>
      </c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</row>
    <row r="17" spans="1:69" s="11" customFormat="1" ht="21" x14ac:dyDescent="0.35">
      <c r="A17"/>
      <c r="B17" s="14" t="s">
        <v>94</v>
      </c>
      <c r="C17" s="12" t="s">
        <v>70</v>
      </c>
      <c r="D17" s="12" t="s">
        <v>12</v>
      </c>
      <c r="E17" s="12" t="s">
        <v>119</v>
      </c>
      <c r="F17" s="15" t="str">
        <f t="shared" si="0"/>
        <v>MA</v>
      </c>
      <c r="G17" s="25">
        <f t="shared" si="1"/>
        <v>12</v>
      </c>
      <c r="H17" s="25">
        <f>CEILING(SUM(LARGE(I17:BH17,{1,2,3,4,5})),1)</f>
        <v>2516</v>
      </c>
      <c r="I17" s="13">
        <f>ZM*FL</f>
        <v>302.5</v>
      </c>
      <c r="J17" s="13">
        <f>ZT*FL</f>
        <v>405.90000000000003</v>
      </c>
      <c r="K17" s="13">
        <f>ZZ*FL</f>
        <v>438.90000000000003</v>
      </c>
      <c r="L17" s="13">
        <f>ZMM*FL</f>
        <v>462.00000000000006</v>
      </c>
      <c r="M17" s="28">
        <f>ZJJ*FL</f>
        <v>407.00000000000006</v>
      </c>
      <c r="N17" s="14">
        <f>ZDD*FL</f>
        <v>379.50000000000006</v>
      </c>
      <c r="O17" s="14">
        <f>ZPP</f>
        <v>570</v>
      </c>
      <c r="P17" s="14">
        <f>ZGG*FL</f>
        <v>385.00000000000006</v>
      </c>
      <c r="Q17" s="14">
        <f>ZEE*FL</f>
        <v>638</v>
      </c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</row>
    <row r="18" spans="1:69" s="11" customFormat="1" ht="21" x14ac:dyDescent="0.35">
      <c r="A18"/>
      <c r="B18" s="36" t="s">
        <v>94</v>
      </c>
      <c r="C18" s="36" t="s">
        <v>70</v>
      </c>
      <c r="D18" s="36" t="s">
        <v>12</v>
      </c>
      <c r="E18" s="36" t="s">
        <v>162</v>
      </c>
      <c r="F18" s="15" t="str">
        <f t="shared" si="0"/>
        <v>MA</v>
      </c>
      <c r="G18" s="25">
        <f t="shared" si="1"/>
        <v>13</v>
      </c>
      <c r="H18" s="25">
        <f>CEILING(SUM(LARGE(I18:BH18,{1,2,3,4,5})),1)</f>
        <v>2515</v>
      </c>
      <c r="I18" s="13">
        <v>295.89999999999998</v>
      </c>
      <c r="J18" s="13">
        <f>ZEE*FL</f>
        <v>638</v>
      </c>
      <c r="K18" s="13">
        <f>ZP*FL</f>
        <v>418.00000000000006</v>
      </c>
      <c r="L18" s="13">
        <f>ZMM*FL</f>
        <v>462.00000000000006</v>
      </c>
      <c r="M18" s="28">
        <f>ZPP*FL</f>
        <v>627</v>
      </c>
      <c r="N18" s="14">
        <f>ZJJ</f>
        <v>370</v>
      </c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</row>
    <row r="19" spans="1:69" s="11" customFormat="1" ht="21" x14ac:dyDescent="0.35">
      <c r="A19"/>
      <c r="B19" s="14" t="s">
        <v>94</v>
      </c>
      <c r="C19" s="12" t="s">
        <v>70</v>
      </c>
      <c r="D19" s="12" t="s">
        <v>12</v>
      </c>
      <c r="E19" s="12" t="s">
        <v>116</v>
      </c>
      <c r="F19" s="15" t="str">
        <f t="shared" si="0"/>
        <v>MI</v>
      </c>
      <c r="G19" s="25">
        <f t="shared" si="1"/>
        <v>33</v>
      </c>
      <c r="H19" s="25">
        <f>CEILING(SUM(LARGE(I19:BH19,{1,2,3,4,5})),1)</f>
        <v>1807</v>
      </c>
      <c r="I19" s="13">
        <f>ZK*FL</f>
        <v>157.30000000000001</v>
      </c>
      <c r="J19" s="13">
        <f>ZG*FL</f>
        <v>133.10000000000002</v>
      </c>
      <c r="K19" s="13">
        <f>ZM*FL</f>
        <v>302.5</v>
      </c>
      <c r="L19" s="13">
        <f>ZU*FL</f>
        <v>275</v>
      </c>
      <c r="M19" s="28">
        <f>ZJ*FL</f>
        <v>295.90000000000003</v>
      </c>
      <c r="N19" s="14">
        <f>ZN*FL</f>
        <v>313.5</v>
      </c>
      <c r="O19" s="14">
        <f>ZW*FL</f>
        <v>412.50000000000006</v>
      </c>
      <c r="P19" s="14">
        <f>ZGG</f>
        <v>350</v>
      </c>
      <c r="Q19" s="14">
        <f>ZAA*FL</f>
        <v>324.5</v>
      </c>
      <c r="R19" s="14">
        <f>ZT*FL</f>
        <v>405.90000000000003</v>
      </c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</row>
    <row r="20" spans="1:69" s="11" customFormat="1" ht="21" x14ac:dyDescent="0.35">
      <c r="A20"/>
      <c r="B20" s="36" t="s">
        <v>94</v>
      </c>
      <c r="C20" s="37"/>
      <c r="D20" s="36" t="s">
        <v>12</v>
      </c>
      <c r="E20" s="24" t="s">
        <v>169</v>
      </c>
      <c r="F20" s="15" t="str">
        <f t="shared" si="0"/>
        <v>MA</v>
      </c>
      <c r="G20" s="25">
        <f t="shared" si="1"/>
        <v>8</v>
      </c>
      <c r="H20" s="25">
        <f>CEILING(SUM(LARGE(I20:BH20,{1,2,3,4,5})),1)</f>
        <v>2980</v>
      </c>
      <c r="I20" s="13">
        <f>ZJ*FL</f>
        <v>295.90000000000003</v>
      </c>
      <c r="J20" s="13">
        <f>ZV*FL</f>
        <v>522.5</v>
      </c>
      <c r="K20" s="13">
        <f>ZSS</f>
        <v>670</v>
      </c>
      <c r="L20" s="13">
        <f>ZHH</f>
        <v>650</v>
      </c>
      <c r="M20" s="28">
        <f>ZEE*FL</f>
        <v>638</v>
      </c>
      <c r="N20" s="14">
        <f>ZY</f>
        <v>499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</row>
    <row r="21" spans="1:69" s="11" customFormat="1" ht="21" x14ac:dyDescent="0.35">
      <c r="A21"/>
      <c r="B21" s="36" t="s">
        <v>94</v>
      </c>
      <c r="C21" s="37"/>
      <c r="D21" s="36" t="s">
        <v>12</v>
      </c>
      <c r="E21" s="24" t="s">
        <v>165</v>
      </c>
      <c r="F21" s="15" t="str">
        <f t="shared" si="0"/>
        <v>MI</v>
      </c>
      <c r="G21" s="25">
        <f t="shared" si="1"/>
        <v>40</v>
      </c>
      <c r="H21" s="25">
        <f>CEILING(SUM(LARGE(I21:BH21,{1,2,3,4,5})),1)</f>
        <v>1641</v>
      </c>
      <c r="I21" s="13">
        <f>ZAA*FL</f>
        <v>324.5</v>
      </c>
      <c r="J21" s="13">
        <f>ZQ*FL</f>
        <v>319</v>
      </c>
      <c r="K21" s="13">
        <f>ZM*FL</f>
        <v>302.5</v>
      </c>
      <c r="L21" s="13">
        <f>ZJ*FL</f>
        <v>295.90000000000003</v>
      </c>
      <c r="M21" s="28">
        <f>ZX*FL</f>
        <v>286</v>
      </c>
      <c r="N21" s="14">
        <f>ZJJ</f>
        <v>370</v>
      </c>
      <c r="O21" s="14">
        <f>ZAA*FL</f>
        <v>324.5</v>
      </c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</row>
    <row r="22" spans="1:69" s="11" customFormat="1" ht="21" x14ac:dyDescent="0.35">
      <c r="A22"/>
      <c r="B22" s="14" t="s">
        <v>94</v>
      </c>
      <c r="C22" s="12" t="s">
        <v>83</v>
      </c>
      <c r="D22" s="12" t="s">
        <v>22</v>
      </c>
      <c r="E22" s="12" t="s">
        <v>137</v>
      </c>
      <c r="F22" s="15" t="str">
        <f t="shared" si="0"/>
        <v>WI</v>
      </c>
      <c r="G22" s="25">
        <f t="shared" si="1"/>
        <v>47</v>
      </c>
      <c r="H22" s="25">
        <f>CEILING(SUM(LARGE(I22:BH22,{1,2,3,4,5})),1)</f>
        <v>1250</v>
      </c>
      <c r="I22" s="13">
        <f>ZO*FL</f>
        <v>214.50000000000003</v>
      </c>
      <c r="J22" s="13">
        <f>ZX*FL</f>
        <v>286</v>
      </c>
      <c r="K22" s="13">
        <f>ZAA*FL</f>
        <v>324.5</v>
      </c>
      <c r="L22" s="13">
        <f>ZR</f>
        <v>230</v>
      </c>
      <c r="M22" s="28">
        <f>ZO</f>
        <v>195</v>
      </c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</row>
    <row r="23" spans="1:69" s="11" customFormat="1" ht="21" x14ac:dyDescent="0.35">
      <c r="A23"/>
      <c r="B23" s="14" t="s">
        <v>94</v>
      </c>
      <c r="C23" s="12" t="s">
        <v>70</v>
      </c>
      <c r="D23" s="12" t="s">
        <v>12</v>
      </c>
      <c r="E23" s="12" t="s">
        <v>170</v>
      </c>
      <c r="F23" s="15" t="str">
        <f t="shared" si="0"/>
        <v>MI</v>
      </c>
      <c r="G23" s="25">
        <f t="shared" si="1"/>
        <v>43</v>
      </c>
      <c r="H23" s="25">
        <f>CEILING(SUM(LARGE(I23:BH23,{1,2,3,4,5})),1)</f>
        <v>1471</v>
      </c>
      <c r="I23" s="13">
        <f>ZK*FL</f>
        <v>157.30000000000001</v>
      </c>
      <c r="J23" s="13">
        <f>ZJ*FL</f>
        <v>295.90000000000003</v>
      </c>
      <c r="K23" s="13">
        <f>ZM*FL</f>
        <v>302.5</v>
      </c>
      <c r="L23" s="13">
        <f>ZM*FL</f>
        <v>302.5</v>
      </c>
      <c r="M23" s="28">
        <f>ZW*FL</f>
        <v>412.50000000000006</v>
      </c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</row>
    <row r="24" spans="1:69" s="11" customFormat="1" ht="21" x14ac:dyDescent="0.35">
      <c r="A24"/>
      <c r="B24" s="14" t="s">
        <v>94</v>
      </c>
      <c r="C24" s="12" t="s">
        <v>70</v>
      </c>
      <c r="D24" s="12" t="s">
        <v>12</v>
      </c>
      <c r="E24" s="12" t="s">
        <v>117</v>
      </c>
      <c r="F24" s="15" t="str">
        <f t="shared" si="0"/>
        <v>MA</v>
      </c>
      <c r="G24" s="25">
        <f t="shared" si="1"/>
        <v>5</v>
      </c>
      <c r="H24" s="25">
        <f>CEILING(SUM(LARGE(I24:BH24,{1,2,3,4,5})),1)</f>
        <v>3320</v>
      </c>
      <c r="I24" s="13">
        <f>ZHH*FL</f>
        <v>715.00000000000011</v>
      </c>
      <c r="J24" s="13">
        <f>ZEE*FL</f>
        <v>638</v>
      </c>
      <c r="K24" s="13">
        <f>ZBB*FL</f>
        <v>599.5</v>
      </c>
      <c r="L24" s="13">
        <f>ZTT</f>
        <v>630</v>
      </c>
      <c r="M24" s="28">
        <f>ZSS*FL</f>
        <v>737.00000000000011</v>
      </c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</row>
    <row r="25" spans="1:69" s="11" customFormat="1" ht="21" x14ac:dyDescent="0.35">
      <c r="A25"/>
      <c r="B25" s="14" t="s">
        <v>94</v>
      </c>
      <c r="C25" s="12" t="s">
        <v>83</v>
      </c>
      <c r="D25" s="12" t="s">
        <v>12</v>
      </c>
      <c r="E25" s="12" t="s">
        <v>134</v>
      </c>
      <c r="F25" s="15" t="str">
        <f t="shared" si="0"/>
        <v>MB</v>
      </c>
      <c r="G25" s="25">
        <f t="shared" si="1"/>
        <v>45</v>
      </c>
      <c r="H25" s="25">
        <f>CEILING(SUM(LARGE(I25:BH25,{1,2,3,4,5})),1)</f>
        <v>1380</v>
      </c>
      <c r="I25" s="13">
        <f>ZA*FL</f>
        <v>77</v>
      </c>
      <c r="J25" s="13">
        <f>ZD*FL</f>
        <v>88</v>
      </c>
      <c r="K25" s="13">
        <f>ZG*FL</f>
        <v>133.10000000000002</v>
      </c>
      <c r="L25" s="13">
        <f>ZJ*FL</f>
        <v>295.90000000000003</v>
      </c>
      <c r="M25" s="28">
        <f>ZM</f>
        <v>275</v>
      </c>
      <c r="N25" s="14">
        <f>ZL*FL</f>
        <v>198.00000000000003</v>
      </c>
      <c r="O25" s="14">
        <f>ZAA*FL</f>
        <v>324.5</v>
      </c>
      <c r="P25" s="14">
        <f>ZX*FL</f>
        <v>286</v>
      </c>
      <c r="Q25" s="14">
        <f>ZK*FL</f>
        <v>157.30000000000001</v>
      </c>
      <c r="R25" s="14">
        <f>ZH</f>
        <v>130</v>
      </c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</row>
    <row r="26" spans="1:69" s="11" customFormat="1" ht="21" x14ac:dyDescent="0.35">
      <c r="A26"/>
      <c r="B26" s="14" t="s">
        <v>94</v>
      </c>
      <c r="C26" s="12" t="s">
        <v>70</v>
      </c>
      <c r="D26" s="12" t="s">
        <v>12</v>
      </c>
      <c r="E26" s="12" t="s">
        <v>141</v>
      </c>
      <c r="F26" s="15" t="str">
        <f t="shared" si="0"/>
        <v>MI</v>
      </c>
      <c r="G26" s="25">
        <f t="shared" si="1"/>
        <v>41</v>
      </c>
      <c r="H26" s="25">
        <f>CEILING(SUM(LARGE(I26:BH26,{1,2,3,4,5})),1)</f>
        <v>1600</v>
      </c>
      <c r="I26" s="13">
        <f>ZB*FL</f>
        <v>66</v>
      </c>
      <c r="J26" s="13">
        <f>ZK*FL</f>
        <v>157.30000000000001</v>
      </c>
      <c r="K26" s="13">
        <f>ZN</f>
        <v>285</v>
      </c>
      <c r="L26" s="13">
        <f>ZI*FL</f>
        <v>185.9</v>
      </c>
      <c r="M26" s="28">
        <f>ZL*FL</f>
        <v>198.00000000000003</v>
      </c>
      <c r="N26" s="14">
        <f>ZAA*FL</f>
        <v>324.5</v>
      </c>
      <c r="O26" s="14">
        <f>ZU*FL</f>
        <v>275</v>
      </c>
      <c r="P26" s="14">
        <f>ZM*FL</f>
        <v>302.5</v>
      </c>
      <c r="Q26" s="14">
        <f>ZW*FL</f>
        <v>412.50000000000006</v>
      </c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</row>
    <row r="27" spans="1:69" s="11" customFormat="1" ht="21" x14ac:dyDescent="0.35">
      <c r="A27"/>
      <c r="B27" s="14" t="s">
        <v>94</v>
      </c>
      <c r="C27" s="12" t="s">
        <v>70</v>
      </c>
      <c r="D27" s="12" t="s">
        <v>12</v>
      </c>
      <c r="E27" s="12" t="s">
        <v>102</v>
      </c>
      <c r="F27" s="15" t="str">
        <f t="shared" si="0"/>
        <v>MA</v>
      </c>
      <c r="G27" s="25">
        <f t="shared" si="1"/>
        <v>22</v>
      </c>
      <c r="H27" s="25">
        <f>CEILING(SUM(LARGE(I27:BH27,{1,2,3,4,5})),1)</f>
        <v>2188</v>
      </c>
      <c r="I27" s="13">
        <v>313.5</v>
      </c>
      <c r="J27" s="13">
        <f>ZT</f>
        <v>369</v>
      </c>
      <c r="K27" s="13">
        <f>ZJJ</f>
        <v>370</v>
      </c>
      <c r="L27" s="13">
        <f>ZDD*FL</f>
        <v>379.50000000000006</v>
      </c>
      <c r="M27" s="28">
        <f>ZW*FL</f>
        <v>412.50000000000006</v>
      </c>
      <c r="N27" s="14">
        <f>ZZ</f>
        <v>399</v>
      </c>
      <c r="O27" s="14">
        <f>ZPP*FL</f>
        <v>627</v>
      </c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</row>
    <row r="28" spans="1:69" s="11" customFormat="1" ht="21" x14ac:dyDescent="0.35">
      <c r="A28"/>
      <c r="B28" s="14" t="s">
        <v>94</v>
      </c>
      <c r="C28" s="12" t="s">
        <v>83</v>
      </c>
      <c r="D28" s="12" t="s">
        <v>12</v>
      </c>
      <c r="E28" s="12" t="s">
        <v>160</v>
      </c>
      <c r="F28" s="15" t="str">
        <f t="shared" si="0"/>
        <v>MA</v>
      </c>
      <c r="G28" s="25">
        <f t="shared" si="1"/>
        <v>4</v>
      </c>
      <c r="H28" s="25">
        <f>CEILING(SUM(LARGE(I28:BH28,{1,2,3,4,5})),1)</f>
        <v>3350</v>
      </c>
      <c r="I28" s="13">
        <f>ZPP</f>
        <v>570</v>
      </c>
      <c r="J28" s="13">
        <f>ZOO*FL</f>
        <v>616</v>
      </c>
      <c r="K28" s="13">
        <f>ZLL*FL</f>
        <v>588.5</v>
      </c>
      <c r="L28" s="13">
        <f>ZSS*FL</f>
        <v>737.00000000000011</v>
      </c>
      <c r="M28" s="28">
        <f>ZHH*FL</f>
        <v>715.00000000000011</v>
      </c>
      <c r="N28" s="14">
        <f>ZTT*FL</f>
        <v>693</v>
      </c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</row>
    <row r="29" spans="1:69" s="11" customFormat="1" ht="21" x14ac:dyDescent="0.35">
      <c r="B29" s="14" t="s">
        <v>94</v>
      </c>
      <c r="C29" s="12" t="s">
        <v>70</v>
      </c>
      <c r="D29" s="12" t="s">
        <v>12</v>
      </c>
      <c r="E29" s="12" t="s">
        <v>103</v>
      </c>
      <c r="F29" s="15" t="str">
        <f t="shared" si="0"/>
        <v>MA</v>
      </c>
      <c r="G29" s="25">
        <f t="shared" si="1"/>
        <v>6</v>
      </c>
      <c r="H29" s="25">
        <f>CEILING(SUM(LARGE(I29:BH29,{1,2,3,4,5})),1)</f>
        <v>3266</v>
      </c>
      <c r="I29" s="13">
        <f>ZV*FL</f>
        <v>522.5</v>
      </c>
      <c r="J29" s="13">
        <f>ZOO*FL</f>
        <v>616</v>
      </c>
      <c r="K29" s="13">
        <f>ZEE*FL</f>
        <v>638</v>
      </c>
      <c r="L29" s="13">
        <f>ZHH*FL</f>
        <v>715.00000000000011</v>
      </c>
      <c r="M29" s="28">
        <f>ZM*FL</f>
        <v>302.5</v>
      </c>
      <c r="N29" s="14">
        <f>ZPP*FL</f>
        <v>627</v>
      </c>
      <c r="O29" s="14">
        <f>ZSS</f>
        <v>670</v>
      </c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</row>
    <row r="30" spans="1:69" s="11" customFormat="1" ht="21" x14ac:dyDescent="0.35">
      <c r="B30" s="14" t="s">
        <v>94</v>
      </c>
      <c r="C30" s="12" t="s">
        <v>89</v>
      </c>
      <c r="D30" s="12" t="s">
        <v>12</v>
      </c>
      <c r="E30" s="12" t="s">
        <v>156</v>
      </c>
      <c r="F30" s="15" t="str">
        <f t="shared" si="0"/>
        <v>MA</v>
      </c>
      <c r="G30" s="25">
        <f t="shared" si="1"/>
        <v>20</v>
      </c>
      <c r="H30" s="25">
        <f>CEILING(SUM(LARGE(I30:BH30,{1,2,3,4,5})),1)</f>
        <v>2206</v>
      </c>
      <c r="I30" s="13">
        <v>379.5</v>
      </c>
      <c r="J30" s="13">
        <f>ZW*FL</f>
        <v>412.50000000000006</v>
      </c>
      <c r="K30" s="13">
        <f>ZZ</f>
        <v>399</v>
      </c>
      <c r="L30" s="13">
        <f>ZV</f>
        <v>475</v>
      </c>
      <c r="M30" s="28">
        <f>ZMM</f>
        <v>420</v>
      </c>
      <c r="N30" s="14">
        <f>ZY</f>
        <v>499</v>
      </c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</row>
    <row r="31" spans="1:69" s="11" customFormat="1" ht="21" x14ac:dyDescent="0.35">
      <c r="B31" s="14" t="s">
        <v>94</v>
      </c>
      <c r="C31" s="12" t="s">
        <v>70</v>
      </c>
      <c r="D31" s="12" t="s">
        <v>12</v>
      </c>
      <c r="E31" s="12" t="s">
        <v>114</v>
      </c>
      <c r="F31" s="15" t="str">
        <f t="shared" si="0"/>
        <v>MA</v>
      </c>
      <c r="G31" s="25">
        <f t="shared" si="1"/>
        <v>10</v>
      </c>
      <c r="H31" s="25">
        <f>CEILING(SUM(LARGE(I31:BH31,{1,2,3,4,5})),1)</f>
        <v>2912</v>
      </c>
      <c r="I31" s="13">
        <f>ZJJ*FL</f>
        <v>407.00000000000006</v>
      </c>
      <c r="J31" s="13">
        <f>ZW*FL</f>
        <v>412.50000000000006</v>
      </c>
      <c r="K31" s="13">
        <f>ZV*FL</f>
        <v>522.5</v>
      </c>
      <c r="L31" s="13">
        <f>ZOO</f>
        <v>560</v>
      </c>
      <c r="M31" s="28">
        <f>ZEE</f>
        <v>580</v>
      </c>
      <c r="N31" s="14">
        <f>ZHH</f>
        <v>650</v>
      </c>
      <c r="O31" s="14">
        <f>ZBB*FL</f>
        <v>599.5</v>
      </c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</row>
    <row r="32" spans="1:69" s="11" customFormat="1" ht="21" x14ac:dyDescent="0.35">
      <c r="B32" s="14" t="s">
        <v>94</v>
      </c>
      <c r="C32" s="12" t="s">
        <v>83</v>
      </c>
      <c r="D32" s="12" t="s">
        <v>12</v>
      </c>
      <c r="E32" s="12" t="s">
        <v>136</v>
      </c>
      <c r="F32" s="15" t="str">
        <f t="shared" si="0"/>
        <v>MB</v>
      </c>
      <c r="G32" s="25">
        <f t="shared" si="1"/>
        <v>52</v>
      </c>
      <c r="H32" s="25">
        <f>CEILING(SUM(LARGE(I32:BH32,{1,2,3,4,5})),1)</f>
        <v>935</v>
      </c>
      <c r="I32" s="13">
        <f>ZQ*FL</f>
        <v>319</v>
      </c>
      <c r="J32" s="13">
        <f>ZOO*FL</f>
        <v>616</v>
      </c>
      <c r="K32" s="13">
        <v>0</v>
      </c>
      <c r="L32" s="13">
        <v>0</v>
      </c>
      <c r="M32" s="28">
        <v>0</v>
      </c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</row>
    <row r="33" spans="2:69" s="11" customFormat="1" ht="21" x14ac:dyDescent="0.35">
      <c r="B33" s="14" t="s">
        <v>94</v>
      </c>
      <c r="C33" s="12" t="s">
        <v>89</v>
      </c>
      <c r="D33" s="12" t="s">
        <v>12</v>
      </c>
      <c r="E33" s="12" t="s">
        <v>155</v>
      </c>
      <c r="F33" s="15" t="str">
        <f t="shared" si="0"/>
        <v>MA</v>
      </c>
      <c r="G33" s="25">
        <f t="shared" si="1"/>
        <v>2</v>
      </c>
      <c r="H33" s="25">
        <f>CEILING(SUM(LARGE(I33:BH33,{1,2,3,4,5})),1)</f>
        <v>3828</v>
      </c>
      <c r="I33" s="13">
        <f>ZOO*FL</f>
        <v>616</v>
      </c>
      <c r="J33" s="13">
        <f>ZSS</f>
        <v>670</v>
      </c>
      <c r="K33" s="13">
        <f>ZHH*FL</f>
        <v>715.00000000000011</v>
      </c>
      <c r="L33" s="13">
        <f>ZOO*FL</f>
        <v>616</v>
      </c>
      <c r="M33" s="28">
        <f>ZKK</f>
        <v>770</v>
      </c>
      <c r="N33" s="14">
        <f>ZNN*FL</f>
        <v>852.50000000000011</v>
      </c>
      <c r="O33" s="14">
        <f>ZQQ</f>
        <v>820</v>
      </c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</row>
    <row r="34" spans="2:69" s="11" customFormat="1" ht="21" x14ac:dyDescent="0.35">
      <c r="B34" s="14" t="s">
        <v>94</v>
      </c>
      <c r="C34" s="12" t="s">
        <v>70</v>
      </c>
      <c r="D34" s="12" t="s">
        <v>12</v>
      </c>
      <c r="E34" s="12" t="s">
        <v>110</v>
      </c>
      <c r="F34" s="15" t="str">
        <f t="shared" si="0"/>
        <v>MA</v>
      </c>
      <c r="G34" s="25">
        <f t="shared" si="1"/>
        <v>15</v>
      </c>
      <c r="H34" s="25">
        <f>CEILING(SUM(LARGE(I34:BH34,{1,2,3,4,5})),1)</f>
        <v>2305</v>
      </c>
      <c r="I34" s="13">
        <f>ZK*FL</f>
        <v>157.30000000000001</v>
      </c>
      <c r="J34" s="13">
        <f>ZN</f>
        <v>285</v>
      </c>
      <c r="K34" s="13">
        <f>ZW</f>
        <v>375</v>
      </c>
      <c r="L34" s="13">
        <f>ZP*FL</f>
        <v>418.00000000000006</v>
      </c>
      <c r="M34" s="28">
        <f>ZDD*FL</f>
        <v>379.50000000000006</v>
      </c>
      <c r="N34" s="14">
        <f>ZMM*FL</f>
        <v>462.00000000000006</v>
      </c>
      <c r="O34" s="14">
        <f>ZT</f>
        <v>369</v>
      </c>
      <c r="P34" s="14">
        <f>ZPP</f>
        <v>570</v>
      </c>
      <c r="Q34" s="14">
        <f>ZV</f>
        <v>475</v>
      </c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</row>
    <row r="35" spans="2:69" s="11" customFormat="1" ht="21" x14ac:dyDescent="0.35">
      <c r="B35" s="14" t="s">
        <v>94</v>
      </c>
      <c r="C35" s="12" t="s">
        <v>70</v>
      </c>
      <c r="D35" s="12" t="s">
        <v>22</v>
      </c>
      <c r="E35" s="12" t="s">
        <v>122</v>
      </c>
      <c r="F35" s="15" t="str">
        <f t="shared" si="0"/>
        <v>WA</v>
      </c>
      <c r="G35" s="25">
        <f t="shared" si="1"/>
        <v>30</v>
      </c>
      <c r="H35" s="25">
        <f>CEILING(SUM(LARGE(I35:BH35,{1,2,3,4,5})),1)</f>
        <v>1919</v>
      </c>
      <c r="I35" s="13">
        <f>ZF*FL</f>
        <v>121.00000000000001</v>
      </c>
      <c r="J35" s="13">
        <f>ZO*FL</f>
        <v>214.50000000000003</v>
      </c>
      <c r="K35" s="13">
        <f>ZN*FL</f>
        <v>313.5</v>
      </c>
      <c r="L35" s="13">
        <f>ZZ*FL</f>
        <v>438.90000000000003</v>
      </c>
      <c r="M35" s="28">
        <f>ZPP*FL</f>
        <v>627</v>
      </c>
      <c r="N35" s="14">
        <f>ZAA*FL</f>
        <v>324.5</v>
      </c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</row>
    <row r="36" spans="2:69" s="11" customFormat="1" ht="21" x14ac:dyDescent="0.35">
      <c r="B36" s="14" t="s">
        <v>94</v>
      </c>
      <c r="C36" s="14" t="s">
        <v>83</v>
      </c>
      <c r="D36" s="14" t="s">
        <v>22</v>
      </c>
      <c r="E36" s="14" t="s">
        <v>161</v>
      </c>
      <c r="F36" s="15" t="str">
        <f t="shared" ref="F36:F67" si="2">IF(D36=M,IF(H36&lt;=MBP,MB,IF(H36&lt;=MIP,MI,MA)),IF(D36=W,IF(H36&lt;=WBP,WB,IF(H36&lt;=WIP,WI,WA))))</f>
        <v>WA</v>
      </c>
      <c r="G36" s="25">
        <f t="shared" ref="G36:G67" si="3">RANK(H36,$H$4:$H$83,0)</f>
        <v>28</v>
      </c>
      <c r="H36" s="25">
        <f>CEILING(SUM(LARGE(I36:BH36,{1,2,3,4,5})),1)</f>
        <v>1978</v>
      </c>
      <c r="I36" s="13">
        <f>ZF*FL</f>
        <v>121.00000000000001</v>
      </c>
      <c r="J36" s="13">
        <f>ZO*FL</f>
        <v>214.50000000000003</v>
      </c>
      <c r="K36" s="13">
        <f>ZR*FL</f>
        <v>253.00000000000003</v>
      </c>
      <c r="L36" s="13">
        <f>ZAA*FL</f>
        <v>324.5</v>
      </c>
      <c r="M36" s="28">
        <f>ZDD*FL</f>
        <v>379.50000000000006</v>
      </c>
      <c r="N36" s="14">
        <f>ZJJ*FL</f>
        <v>407.00000000000006</v>
      </c>
      <c r="O36" s="14">
        <f>ZM*FL</f>
        <v>302.5</v>
      </c>
      <c r="P36" s="14">
        <f>ZP</f>
        <v>380</v>
      </c>
      <c r="Q36" s="14">
        <f>ZW*FL</f>
        <v>412.50000000000006</v>
      </c>
      <c r="R36" s="14">
        <f>ZZ</f>
        <v>399</v>
      </c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</row>
    <row r="37" spans="2:69" s="11" customFormat="1" ht="21" x14ac:dyDescent="0.35">
      <c r="B37" s="14" t="s">
        <v>94</v>
      </c>
      <c r="C37" s="12" t="s">
        <v>70</v>
      </c>
      <c r="D37" s="12" t="s">
        <v>12</v>
      </c>
      <c r="E37" s="12" t="s">
        <v>121</v>
      </c>
      <c r="F37" s="15" t="str">
        <f t="shared" si="2"/>
        <v>MB</v>
      </c>
      <c r="G37" s="25">
        <f t="shared" si="3"/>
        <v>58</v>
      </c>
      <c r="H37" s="25">
        <f>CEILING(SUM(LARGE(I37:BH37,{1,2,3,4,5})),1)</f>
        <v>0</v>
      </c>
      <c r="I37" s="13">
        <v>0</v>
      </c>
      <c r="J37" s="13">
        <v>0</v>
      </c>
      <c r="K37" s="13">
        <v>0</v>
      </c>
      <c r="L37" s="13">
        <v>0</v>
      </c>
      <c r="M37" s="28">
        <v>0</v>
      </c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</row>
    <row r="38" spans="2:69" s="11" customFormat="1" ht="21" x14ac:dyDescent="0.35">
      <c r="B38" s="36" t="s">
        <v>94</v>
      </c>
      <c r="C38" s="37" t="s">
        <v>70</v>
      </c>
      <c r="D38" s="36" t="s">
        <v>22</v>
      </c>
      <c r="E38" s="24" t="s">
        <v>166</v>
      </c>
      <c r="F38" s="15" t="str">
        <f t="shared" si="2"/>
        <v>WB</v>
      </c>
      <c r="G38" s="25">
        <f t="shared" si="3"/>
        <v>54</v>
      </c>
      <c r="H38" s="25">
        <f>CEILING(SUM(LARGE(I38:BH38,{1,2,3,4,5})),1)</f>
        <v>686</v>
      </c>
      <c r="I38" s="13">
        <f>ZA*FL</f>
        <v>77</v>
      </c>
      <c r="J38" s="13">
        <f>ZB*FL</f>
        <v>66</v>
      </c>
      <c r="K38" s="13">
        <f>ZE*FL</f>
        <v>75.900000000000006</v>
      </c>
      <c r="L38" s="13">
        <f>ZD*FL</f>
        <v>88</v>
      </c>
      <c r="M38" s="28">
        <f>ZG*FL</f>
        <v>133.10000000000002</v>
      </c>
      <c r="N38" s="14">
        <f>ZC*FL</f>
        <v>55.000000000000007</v>
      </c>
      <c r="O38" s="14">
        <f>ZF*FL</f>
        <v>121.00000000000001</v>
      </c>
      <c r="P38" s="14">
        <f>ZK*FL</f>
        <v>157.30000000000001</v>
      </c>
      <c r="Q38" s="14">
        <f>ZI*FL</f>
        <v>185.9</v>
      </c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</row>
    <row r="39" spans="2:69" s="11" customFormat="1" ht="21" x14ac:dyDescent="0.35">
      <c r="B39" s="14" t="s">
        <v>94</v>
      </c>
      <c r="C39" s="12"/>
      <c r="D39" s="12" t="s">
        <v>12</v>
      </c>
      <c r="E39" s="12" t="s">
        <v>132</v>
      </c>
      <c r="F39" s="15" t="str">
        <f t="shared" si="2"/>
        <v>MB</v>
      </c>
      <c r="G39" s="25">
        <f t="shared" si="3"/>
        <v>58</v>
      </c>
      <c r="H39" s="25">
        <f>CEILING(SUM(LARGE(I39:BH39,{1,2,3,4,5})),1)</f>
        <v>0</v>
      </c>
      <c r="I39" s="13">
        <v>0</v>
      </c>
      <c r="J39" s="13">
        <v>0</v>
      </c>
      <c r="K39" s="13">
        <v>0</v>
      </c>
      <c r="L39" s="13">
        <v>0</v>
      </c>
      <c r="M39" s="28">
        <v>0</v>
      </c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</row>
    <row r="40" spans="2:69" s="11" customFormat="1" ht="21" x14ac:dyDescent="0.35">
      <c r="B40" s="14" t="s">
        <v>94</v>
      </c>
      <c r="C40" s="12" t="s">
        <v>83</v>
      </c>
      <c r="D40" s="12" t="s">
        <v>12</v>
      </c>
      <c r="E40" s="12" t="s">
        <v>159</v>
      </c>
      <c r="F40" s="15" t="str">
        <f t="shared" si="2"/>
        <v>MA</v>
      </c>
      <c r="G40" s="25">
        <f t="shared" si="3"/>
        <v>9</v>
      </c>
      <c r="H40" s="25">
        <f>CEILING(SUM(LARGE(I40:BH40,{1,2,3,4,5})),1)</f>
        <v>2925</v>
      </c>
      <c r="I40" s="13">
        <v>549</v>
      </c>
      <c r="J40" s="13">
        <f>ZII*FL</f>
        <v>533.5</v>
      </c>
      <c r="K40" s="13">
        <f>ZPP*FL</f>
        <v>627</v>
      </c>
      <c r="L40" s="13">
        <f>ZSS</f>
        <v>670</v>
      </c>
      <c r="M40" s="28">
        <f>ZBB</f>
        <v>545</v>
      </c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</row>
    <row r="41" spans="2:69" s="11" customFormat="1" ht="21" x14ac:dyDescent="0.35">
      <c r="B41" s="14" t="s">
        <v>94</v>
      </c>
      <c r="C41" s="12" t="s">
        <v>70</v>
      </c>
      <c r="D41" s="12" t="s">
        <v>22</v>
      </c>
      <c r="E41" s="12" t="s">
        <v>108</v>
      </c>
      <c r="F41" s="15" t="str">
        <f t="shared" si="2"/>
        <v>WA</v>
      </c>
      <c r="G41" s="25">
        <f t="shared" si="3"/>
        <v>24</v>
      </c>
      <c r="H41" s="25">
        <f>CEILING(SUM(LARGE(I41:BH41,{1,2,3,4,5})),1)</f>
        <v>2100</v>
      </c>
      <c r="I41" s="13">
        <f>ZAA*FL</f>
        <v>324.5</v>
      </c>
      <c r="J41" s="13">
        <f>ZJJ</f>
        <v>370</v>
      </c>
      <c r="K41" s="13">
        <f>ZJ*FL</f>
        <v>295.90000000000003</v>
      </c>
      <c r="L41" s="13">
        <f>ZPP*FL</f>
        <v>627</v>
      </c>
      <c r="M41" s="28">
        <f>ZDD*FL</f>
        <v>379.50000000000006</v>
      </c>
      <c r="N41" s="14">
        <f>ZZ</f>
        <v>399</v>
      </c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</row>
    <row r="42" spans="2:69" s="11" customFormat="1" ht="21" x14ac:dyDescent="0.35">
      <c r="B42" s="36" t="s">
        <v>94</v>
      </c>
      <c r="C42" s="37"/>
      <c r="D42" s="36" t="s">
        <v>12</v>
      </c>
      <c r="E42" s="24" t="s">
        <v>167</v>
      </c>
      <c r="F42" s="15" t="str">
        <f t="shared" si="2"/>
        <v>MB</v>
      </c>
      <c r="G42" s="25">
        <f t="shared" si="3"/>
        <v>51</v>
      </c>
      <c r="H42" s="25">
        <f>CEILING(SUM(LARGE(I42:BH42,{1,2,3,4,5})),1)</f>
        <v>949</v>
      </c>
      <c r="I42" s="13">
        <f>ZA*FL</f>
        <v>77</v>
      </c>
      <c r="J42" s="13">
        <f>ZD*FL</f>
        <v>88</v>
      </c>
      <c r="K42" s="13">
        <f>ZG*FL</f>
        <v>133.10000000000002</v>
      </c>
      <c r="L42" s="13">
        <f>ZK*FL</f>
        <v>157.30000000000001</v>
      </c>
      <c r="M42" s="28">
        <f>ZC*FL</f>
        <v>55.000000000000007</v>
      </c>
      <c r="N42" s="14">
        <f>ZF*FL</f>
        <v>121.00000000000001</v>
      </c>
      <c r="O42" s="14">
        <f>ZI*FL</f>
        <v>185.9</v>
      </c>
      <c r="P42" s="14">
        <f>ZL</f>
        <v>180</v>
      </c>
      <c r="Q42" s="14">
        <f>ZO</f>
        <v>195</v>
      </c>
      <c r="R42" s="14">
        <f>ZR</f>
        <v>230</v>
      </c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</row>
    <row r="43" spans="2:69" s="11" customFormat="1" ht="21" x14ac:dyDescent="0.35">
      <c r="B43" s="14" t="s">
        <v>94</v>
      </c>
      <c r="C43" s="12" t="s">
        <v>70</v>
      </c>
      <c r="D43" s="12" t="s">
        <v>12</v>
      </c>
      <c r="E43" s="12" t="s">
        <v>107</v>
      </c>
      <c r="F43" s="15" t="str">
        <f t="shared" si="2"/>
        <v>MB</v>
      </c>
      <c r="G43" s="25">
        <f t="shared" si="3"/>
        <v>50</v>
      </c>
      <c r="H43" s="25">
        <f>CEILING(SUM(LARGE(I43:BH43,{1,2,3,4,5})),1)</f>
        <v>1081</v>
      </c>
      <c r="I43" s="13">
        <f>ZA*FL</f>
        <v>77</v>
      </c>
      <c r="J43" s="13">
        <f>ZD*FL</f>
        <v>88</v>
      </c>
      <c r="K43" s="13">
        <f>ZG*FL</f>
        <v>133.10000000000002</v>
      </c>
      <c r="L43" s="13">
        <f>ZW*FL</f>
        <v>412.50000000000006</v>
      </c>
      <c r="M43" s="28">
        <f>ZJJ</f>
        <v>370</v>
      </c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</row>
    <row r="44" spans="2:69" s="11" customFormat="1" ht="21" x14ac:dyDescent="0.35">
      <c r="B44" s="14" t="s">
        <v>94</v>
      </c>
      <c r="C44" s="12" t="s">
        <v>83</v>
      </c>
      <c r="D44" s="12" t="s">
        <v>12</v>
      </c>
      <c r="E44" s="12" t="s">
        <v>135</v>
      </c>
      <c r="F44" s="15" t="str">
        <f t="shared" si="2"/>
        <v>MA</v>
      </c>
      <c r="G44" s="25">
        <f t="shared" si="3"/>
        <v>16</v>
      </c>
      <c r="H44" s="25">
        <f>CEILING(SUM(LARGE(I44:BH44,{1,2,3,4,5})),1)</f>
        <v>2270</v>
      </c>
      <c r="I44" s="13">
        <v>88</v>
      </c>
      <c r="J44" s="13">
        <f>ZN*FL</f>
        <v>313.5</v>
      </c>
      <c r="K44" s="13">
        <f>ZW</f>
        <v>375</v>
      </c>
      <c r="L44" s="13">
        <f>ZJJ*FL</f>
        <v>407.00000000000006</v>
      </c>
      <c r="M44" s="28">
        <f>ZGG*FL</f>
        <v>385.00000000000006</v>
      </c>
      <c r="N44" s="14">
        <f>ZS</f>
        <v>410</v>
      </c>
      <c r="O44" s="14">
        <f>ZV*FL</f>
        <v>522.5</v>
      </c>
      <c r="P44" s="14">
        <f>ZBB</f>
        <v>545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</row>
    <row r="45" spans="2:69" s="11" customFormat="1" ht="21" x14ac:dyDescent="0.35">
      <c r="B45" s="14" t="s">
        <v>94</v>
      </c>
      <c r="C45" s="24" t="s">
        <v>83</v>
      </c>
      <c r="D45" s="12" t="s">
        <v>12</v>
      </c>
      <c r="E45" s="12" t="s">
        <v>129</v>
      </c>
      <c r="F45" s="15" t="str">
        <f t="shared" si="2"/>
        <v>MA</v>
      </c>
      <c r="G45" s="25">
        <f t="shared" si="3"/>
        <v>21</v>
      </c>
      <c r="H45" s="25">
        <f>CEILING(SUM(LARGE(I45:BH45,{1,2,3,4,5})),1)</f>
        <v>2200</v>
      </c>
      <c r="I45" s="13">
        <v>157</v>
      </c>
      <c r="J45" s="13">
        <f>ZN*FL</f>
        <v>313.5</v>
      </c>
      <c r="K45" s="13">
        <f>ZQ*FL</f>
        <v>319</v>
      </c>
      <c r="L45" s="13">
        <f>ZZ</f>
        <v>399</v>
      </c>
      <c r="M45" s="28">
        <f>ZMM*FL</f>
        <v>462.00000000000006</v>
      </c>
      <c r="N45" s="14">
        <f>ZS*FL</f>
        <v>451.00000000000006</v>
      </c>
      <c r="O45" s="14">
        <f>ZV</f>
        <v>475</v>
      </c>
      <c r="P45" s="14">
        <f>ZW*FL</f>
        <v>412.50000000000006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</row>
    <row r="46" spans="2:69" s="11" customFormat="1" ht="21" x14ac:dyDescent="0.35">
      <c r="B46" s="14" t="s">
        <v>94</v>
      </c>
      <c r="C46" s="12" t="s">
        <v>70</v>
      </c>
      <c r="D46" s="12" t="s">
        <v>12</v>
      </c>
      <c r="E46" s="12" t="s">
        <v>115</v>
      </c>
      <c r="F46" s="15" t="str">
        <f t="shared" si="2"/>
        <v>MI</v>
      </c>
      <c r="G46" s="25">
        <f t="shared" si="3"/>
        <v>42</v>
      </c>
      <c r="H46" s="25">
        <f>CEILING(SUM(LARGE(I46:BH46,{1,2,3,4,5})),1)</f>
        <v>1547</v>
      </c>
      <c r="I46" s="13">
        <f>ZL*FL</f>
        <v>198.00000000000003</v>
      </c>
      <c r="J46" s="13">
        <f>ZO*FL</f>
        <v>214.50000000000003</v>
      </c>
      <c r="K46" s="13">
        <f>ZK*FL</f>
        <v>157.30000000000001</v>
      </c>
      <c r="L46" s="13">
        <f>ZU*FL</f>
        <v>275</v>
      </c>
      <c r="M46" s="28">
        <f>ZW</f>
        <v>375</v>
      </c>
      <c r="N46" s="14">
        <f>ZM*FL</f>
        <v>302.5</v>
      </c>
      <c r="O46" s="14">
        <f>ZP</f>
        <v>380</v>
      </c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</row>
    <row r="47" spans="2:69" s="11" customFormat="1" ht="21" x14ac:dyDescent="0.35">
      <c r="B47" s="14" t="s">
        <v>94</v>
      </c>
      <c r="C47" s="12" t="s">
        <v>70</v>
      </c>
      <c r="D47" s="12" t="s">
        <v>12</v>
      </c>
      <c r="E47" s="12" t="s">
        <v>105</v>
      </c>
      <c r="F47" s="15" t="str">
        <f t="shared" si="2"/>
        <v>MB</v>
      </c>
      <c r="G47" s="25">
        <f t="shared" si="3"/>
        <v>44</v>
      </c>
      <c r="H47" s="25">
        <f>CEILING(SUM(LARGE(I47:BH47,{1,2,3,4,5})),1)</f>
        <v>1386</v>
      </c>
      <c r="I47" s="13">
        <f>ZA*FL</f>
        <v>77</v>
      </c>
      <c r="J47" s="13">
        <f>ZF*FL</f>
        <v>121.00000000000001</v>
      </c>
      <c r="K47" s="13">
        <f>ZR*FL</f>
        <v>253.00000000000003</v>
      </c>
      <c r="L47" s="13">
        <f>ZU</f>
        <v>250</v>
      </c>
      <c r="M47" s="28">
        <f>ZJ</f>
        <v>269</v>
      </c>
      <c r="N47" s="14">
        <f>ZN</f>
        <v>285</v>
      </c>
      <c r="O47" s="14">
        <f>ZQ*FL</f>
        <v>319</v>
      </c>
      <c r="P47" s="14">
        <f>ZX</f>
        <v>260</v>
      </c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</row>
    <row r="48" spans="2:69" s="11" customFormat="1" ht="21" x14ac:dyDescent="0.35">
      <c r="B48" s="14" t="s">
        <v>94</v>
      </c>
      <c r="C48" s="12" t="s">
        <v>83</v>
      </c>
      <c r="D48" s="12" t="s">
        <v>12</v>
      </c>
      <c r="E48" s="12" t="s">
        <v>130</v>
      </c>
      <c r="F48" s="15" t="str">
        <f t="shared" si="2"/>
        <v>MA</v>
      </c>
      <c r="G48" s="25">
        <f t="shared" si="3"/>
        <v>29</v>
      </c>
      <c r="H48" s="25">
        <f>CEILING(SUM(LARGE(I48:BH48,{1,2,3,4,5})),1)</f>
        <v>1955</v>
      </c>
      <c r="I48" s="13">
        <f>ZK*FL</f>
        <v>157.30000000000001</v>
      </c>
      <c r="J48" s="13">
        <f>ZN*FL</f>
        <v>313.5</v>
      </c>
      <c r="K48" s="13">
        <f>ZDD</f>
        <v>345</v>
      </c>
      <c r="L48" s="13">
        <f>ZM*FL</f>
        <v>302.5</v>
      </c>
      <c r="M48" s="28">
        <f>ZP*FL</f>
        <v>418.00000000000006</v>
      </c>
      <c r="N48" s="14">
        <f>ZW*FL</f>
        <v>412.50000000000006</v>
      </c>
      <c r="O48" s="14">
        <f>ZS</f>
        <v>410</v>
      </c>
      <c r="P48" s="14">
        <f>ZT</f>
        <v>369</v>
      </c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</row>
    <row r="49" spans="2:69" s="11" customFormat="1" ht="21" x14ac:dyDescent="0.35">
      <c r="B49" s="14" t="s">
        <v>94</v>
      </c>
      <c r="C49" s="24" t="s">
        <v>70</v>
      </c>
      <c r="D49" s="36" t="s">
        <v>22</v>
      </c>
      <c r="E49" s="24" t="s">
        <v>173</v>
      </c>
      <c r="F49" s="15" t="str">
        <f t="shared" si="2"/>
        <v>WB</v>
      </c>
      <c r="G49" s="25">
        <f t="shared" si="3"/>
        <v>55</v>
      </c>
      <c r="H49" s="25">
        <f>CEILING(SUM(LARGE(I49:BH49,{1,2,3,4,5})),1)</f>
        <v>455</v>
      </c>
      <c r="I49" s="13">
        <f>ZK</f>
        <v>143</v>
      </c>
      <c r="J49" s="13">
        <f>ZE*FL</f>
        <v>75.900000000000006</v>
      </c>
      <c r="K49" s="13">
        <f>ZC*FL</f>
        <v>55.000000000000007</v>
      </c>
      <c r="L49" s="13">
        <f>ZF*FL</f>
        <v>121.00000000000001</v>
      </c>
      <c r="M49" s="28">
        <f>ZB</f>
        <v>60</v>
      </c>
      <c r="N49" s="34"/>
      <c r="O49" s="34"/>
      <c r="P49" s="34"/>
      <c r="Q49" s="34"/>
      <c r="R49" s="3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</row>
    <row r="50" spans="2:69" s="11" customFormat="1" ht="21" x14ac:dyDescent="0.35">
      <c r="B50" s="14" t="s">
        <v>94</v>
      </c>
      <c r="C50" s="12" t="s">
        <v>83</v>
      </c>
      <c r="D50" s="12" t="s">
        <v>12</v>
      </c>
      <c r="E50" s="12" t="s">
        <v>133</v>
      </c>
      <c r="F50" s="15" t="str">
        <f t="shared" si="2"/>
        <v>MB</v>
      </c>
      <c r="G50" s="25">
        <f t="shared" si="3"/>
        <v>46</v>
      </c>
      <c r="H50" s="25">
        <f>CEILING(SUM(LARGE(I50:BH50,{1,2,3,4,5})),1)</f>
        <v>1312</v>
      </c>
      <c r="I50" s="13">
        <f>ZC*FL</f>
        <v>55.000000000000007</v>
      </c>
      <c r="J50" s="13">
        <f>ZF*FL</f>
        <v>121.00000000000001</v>
      </c>
      <c r="K50" s="13">
        <f>ZL*FL</f>
        <v>198.00000000000003</v>
      </c>
      <c r="L50" s="13">
        <f>ZN</f>
        <v>285</v>
      </c>
      <c r="M50" s="28">
        <f>ZAA</f>
        <v>295</v>
      </c>
      <c r="N50" s="14">
        <f>ZW*FL</f>
        <v>412.50000000000006</v>
      </c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</row>
    <row r="51" spans="2:69" s="11" customFormat="1" ht="21" x14ac:dyDescent="0.35">
      <c r="B51" s="14" t="s">
        <v>94</v>
      </c>
      <c r="C51" s="24"/>
      <c r="D51" s="36" t="s">
        <v>12</v>
      </c>
      <c r="E51" s="24" t="s">
        <v>172</v>
      </c>
      <c r="F51" s="15" t="str">
        <f t="shared" si="2"/>
        <v>MI</v>
      </c>
      <c r="G51" s="25">
        <f t="shared" si="3"/>
        <v>39</v>
      </c>
      <c r="H51" s="25">
        <f>CEILING(SUM(LARGE(I51:BH51,{1,2,3,4,5})),1)</f>
        <v>1656</v>
      </c>
      <c r="I51" s="13">
        <f>ZK*FL</f>
        <v>157.30000000000001</v>
      </c>
      <c r="J51" s="13">
        <f>ZQ*FL</f>
        <v>319</v>
      </c>
      <c r="K51" s="13">
        <f>ZU*FL</f>
        <v>275</v>
      </c>
      <c r="L51" s="13">
        <f>ZP</f>
        <v>380</v>
      </c>
      <c r="M51" s="28">
        <f>ZJ</f>
        <v>269</v>
      </c>
      <c r="N51" s="34">
        <f>ZW*FL</f>
        <v>412.50000000000006</v>
      </c>
      <c r="O51" s="34"/>
      <c r="P51" s="34"/>
      <c r="Q51" s="34"/>
      <c r="R51" s="3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</row>
    <row r="52" spans="2:69" s="11" customFormat="1" ht="21" x14ac:dyDescent="0.35">
      <c r="B52" s="14" t="s">
        <v>94</v>
      </c>
      <c r="C52" s="24" t="s">
        <v>83</v>
      </c>
      <c r="D52" s="12" t="s">
        <v>22</v>
      </c>
      <c r="E52" s="12" t="s">
        <v>126</v>
      </c>
      <c r="F52" s="15" t="str">
        <f t="shared" si="2"/>
        <v>WA</v>
      </c>
      <c r="G52" s="25">
        <f t="shared" si="3"/>
        <v>32</v>
      </c>
      <c r="H52" s="25">
        <f>CEILING(SUM(LARGE(I52:BH52,{1,2,3,4,5})),1)</f>
        <v>1836</v>
      </c>
      <c r="I52" s="13">
        <f>ZJ*FL</f>
        <v>295.90000000000003</v>
      </c>
      <c r="J52" s="13">
        <f>ZG*FL</f>
        <v>133.10000000000002</v>
      </c>
      <c r="K52" s="13">
        <f>ZP*FL</f>
        <v>418.00000000000006</v>
      </c>
      <c r="L52" s="13">
        <f>ZJJ*FL</f>
        <v>407.00000000000006</v>
      </c>
      <c r="M52" s="28">
        <f>ZM*FL</f>
        <v>302.5</v>
      </c>
      <c r="N52" s="14">
        <f>ZW*FL</f>
        <v>412.50000000000006</v>
      </c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</row>
    <row r="53" spans="2:69" s="11" customFormat="1" ht="21" x14ac:dyDescent="0.35">
      <c r="B53" s="14" t="s">
        <v>94</v>
      </c>
      <c r="C53" s="24" t="s">
        <v>83</v>
      </c>
      <c r="D53" s="12" t="s">
        <v>12</v>
      </c>
      <c r="E53" s="12" t="s">
        <v>127</v>
      </c>
      <c r="F53" s="15" t="str">
        <f t="shared" si="2"/>
        <v>MI</v>
      </c>
      <c r="G53" s="25">
        <f t="shared" si="3"/>
        <v>34</v>
      </c>
      <c r="H53" s="25">
        <f>CEILING(SUM(LARGE(I53:BH53,{1,2,3,4,5})),1)</f>
        <v>1797</v>
      </c>
      <c r="I53" s="13">
        <f>ZJ*FL</f>
        <v>295.90000000000003</v>
      </c>
      <c r="J53" s="13">
        <f>ZM*FL</f>
        <v>302.5</v>
      </c>
      <c r="K53" s="13">
        <f>ZP</f>
        <v>380</v>
      </c>
      <c r="L53" s="13">
        <f>ZN</f>
        <v>285</v>
      </c>
      <c r="M53" s="28">
        <f>ZW*FL</f>
        <v>412.50000000000006</v>
      </c>
      <c r="N53" s="14">
        <f>ZT*FL</f>
        <v>405.90000000000003</v>
      </c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</row>
    <row r="54" spans="2:69" s="11" customFormat="1" ht="21" x14ac:dyDescent="0.35">
      <c r="B54" s="14" t="s">
        <v>94</v>
      </c>
      <c r="C54" s="12" t="s">
        <v>70</v>
      </c>
      <c r="D54" s="12" t="s">
        <v>12</v>
      </c>
      <c r="E54" s="12" t="s">
        <v>104</v>
      </c>
      <c r="F54" s="15" t="str">
        <f t="shared" si="2"/>
        <v>MA</v>
      </c>
      <c r="G54" s="25">
        <f t="shared" si="3"/>
        <v>18</v>
      </c>
      <c r="H54" s="25">
        <f>CEILING(SUM(LARGE(I54:BH54,{1,2,3,4,5})),1)</f>
        <v>2231</v>
      </c>
      <c r="I54" s="13">
        <f>ZN*FL</f>
        <v>313.5</v>
      </c>
      <c r="J54" s="13">
        <v>157.30000000000001</v>
      </c>
      <c r="K54" s="13">
        <f>ZW*FL</f>
        <v>412.50000000000006</v>
      </c>
      <c r="L54" s="13">
        <f>ZJJ*FL</f>
        <v>407.00000000000006</v>
      </c>
      <c r="M54" s="28">
        <f>ZMM*FL</f>
        <v>462.00000000000006</v>
      </c>
      <c r="N54" s="14">
        <f>ZDD*FL</f>
        <v>379.50000000000006</v>
      </c>
      <c r="O54" s="14">
        <f>ZPP</f>
        <v>570</v>
      </c>
      <c r="P54" s="14"/>
      <c r="Q54" s="14"/>
      <c r="R54" s="1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</row>
    <row r="55" spans="2:69" s="11" customFormat="1" ht="21" x14ac:dyDescent="0.35">
      <c r="B55" s="14" t="s">
        <v>94</v>
      </c>
      <c r="C55" s="24" t="s">
        <v>70</v>
      </c>
      <c r="D55" s="36" t="s">
        <v>12</v>
      </c>
      <c r="E55" s="24" t="s">
        <v>175</v>
      </c>
      <c r="F55" s="15" t="str">
        <f t="shared" si="2"/>
        <v>MA</v>
      </c>
      <c r="G55" s="25">
        <f t="shared" si="3"/>
        <v>7</v>
      </c>
      <c r="H55" s="25">
        <f>CEILING(SUM(LARGE(I55:BH55,{1,2,3,4,5})),1)</f>
        <v>3209</v>
      </c>
      <c r="I55" s="13">
        <f>ZN*FL</f>
        <v>313.5</v>
      </c>
      <c r="J55" s="13">
        <f>ZSS*FL</f>
        <v>737.00000000000011</v>
      </c>
      <c r="K55" s="13">
        <f>ZPP</f>
        <v>570</v>
      </c>
      <c r="L55" s="13">
        <f>ZW*FL</f>
        <v>412.50000000000006</v>
      </c>
      <c r="M55" s="28">
        <f>ZZ*FL</f>
        <v>438.90000000000003</v>
      </c>
      <c r="N55" s="34">
        <f>ZEE*FL</f>
        <v>638</v>
      </c>
      <c r="O55" s="34">
        <f>ZY*FL</f>
        <v>548.90000000000009</v>
      </c>
      <c r="P55" s="34">
        <f>ZHH*FL</f>
        <v>715.00000000000011</v>
      </c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</row>
    <row r="56" spans="2:69" s="11" customFormat="1" ht="21" x14ac:dyDescent="0.35">
      <c r="B56" s="36" t="s">
        <v>94</v>
      </c>
      <c r="C56" s="37" t="s">
        <v>70</v>
      </c>
      <c r="D56" s="24" t="s">
        <v>12</v>
      </c>
      <c r="E56" s="24" t="s">
        <v>164</v>
      </c>
      <c r="F56" s="15" t="str">
        <f t="shared" si="2"/>
        <v>MA</v>
      </c>
      <c r="G56" s="25">
        <f t="shared" si="3"/>
        <v>31</v>
      </c>
      <c r="H56" s="25">
        <f>CEILING(SUM(LARGE(I56:BH56,{1,2,3,4,5})),1)</f>
        <v>1913</v>
      </c>
      <c r="I56" s="13">
        <f>ZJ*FL</f>
        <v>295.90000000000003</v>
      </c>
      <c r="J56" s="13">
        <f>ZP*FL</f>
        <v>418.00000000000006</v>
      </c>
      <c r="K56" s="13">
        <f>ZW*FL</f>
        <v>412.50000000000006</v>
      </c>
      <c r="L56" s="13">
        <f>ZAA*FL</f>
        <v>324.5</v>
      </c>
      <c r="M56" s="28">
        <f>ZMM*FL</f>
        <v>462.00000000000006</v>
      </c>
      <c r="N56" s="14"/>
      <c r="O56" s="14"/>
      <c r="P56" s="14"/>
      <c r="Q56" s="14"/>
      <c r="R56" s="1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</row>
    <row r="57" spans="2:69" s="11" customFormat="1" ht="21" x14ac:dyDescent="0.35">
      <c r="B57" s="14" t="s">
        <v>94</v>
      </c>
      <c r="C57" s="12"/>
      <c r="D57" s="12" t="s">
        <v>12</v>
      </c>
      <c r="E57" s="12" t="s">
        <v>154</v>
      </c>
      <c r="F57" s="15" t="str">
        <f t="shared" si="2"/>
        <v>MA</v>
      </c>
      <c r="G57" s="25">
        <f t="shared" si="3"/>
        <v>1</v>
      </c>
      <c r="H57" s="25">
        <f>CEILING(SUM(LARGE(I57:BH57,{1,2,3,4,5})),1)</f>
        <v>3895</v>
      </c>
      <c r="I57" s="13">
        <f>ZSS*FL</f>
        <v>737.00000000000011</v>
      </c>
      <c r="J57" s="13">
        <f>ZHH*FL</f>
        <v>715.00000000000011</v>
      </c>
      <c r="K57" s="13">
        <f>ZKK</f>
        <v>770</v>
      </c>
      <c r="L57" s="13">
        <f>ZNN*FL</f>
        <v>852.50000000000011</v>
      </c>
      <c r="M57" s="28">
        <f>ZTT</f>
        <v>630</v>
      </c>
      <c r="N57" s="14">
        <f>ZQQ</f>
        <v>820</v>
      </c>
      <c r="O57" s="14"/>
      <c r="P57" s="14"/>
      <c r="Q57" s="14"/>
      <c r="R57" s="1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</row>
    <row r="58" spans="2:69" s="11" customFormat="1" ht="21" x14ac:dyDescent="0.35">
      <c r="B58" s="36" t="s">
        <v>94</v>
      </c>
      <c r="C58" s="37"/>
      <c r="D58" s="36" t="s">
        <v>12</v>
      </c>
      <c r="E58" s="24" t="s">
        <v>168</v>
      </c>
      <c r="F58" s="15" t="str">
        <f t="shared" si="2"/>
        <v>MA</v>
      </c>
      <c r="G58" s="25">
        <f t="shared" si="3"/>
        <v>19</v>
      </c>
      <c r="H58" s="25">
        <f>CEILING(SUM(LARGE(I58:BH58,{1,2,3,4,5})),1)</f>
        <v>2222</v>
      </c>
      <c r="I58" s="13">
        <f>ZW*FL</f>
        <v>412.50000000000006</v>
      </c>
      <c r="J58" s="13">
        <f>ZDD*FL</f>
        <v>379.50000000000006</v>
      </c>
      <c r="K58" s="13">
        <f>ZJJ*FL</f>
        <v>407.00000000000006</v>
      </c>
      <c r="L58" s="13">
        <f>ZMM</f>
        <v>420</v>
      </c>
      <c r="M58" s="28">
        <f>ZPP</f>
        <v>570</v>
      </c>
      <c r="N58" s="34">
        <f>ZW*FL</f>
        <v>412.50000000000006</v>
      </c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</row>
    <row r="59" spans="2:69" s="11" customFormat="1" ht="21" x14ac:dyDescent="0.35">
      <c r="B59" s="14" t="s">
        <v>94</v>
      </c>
      <c r="C59" s="12" t="s">
        <v>83</v>
      </c>
      <c r="D59" s="12" t="s">
        <v>12</v>
      </c>
      <c r="E59" s="12" t="s">
        <v>138</v>
      </c>
      <c r="F59" s="15" t="str">
        <f t="shared" si="2"/>
        <v>MB</v>
      </c>
      <c r="G59" s="25">
        <f t="shared" si="3"/>
        <v>49</v>
      </c>
      <c r="H59" s="25">
        <f>CEILING(SUM(LARGE(I59:BH59,{1,2,3,4,5})),1)</f>
        <v>1152</v>
      </c>
      <c r="I59" s="13">
        <f>ZAA*FL</f>
        <v>324.5</v>
      </c>
      <c r="J59" s="13">
        <f>ZJJ*FL</f>
        <v>407.00000000000006</v>
      </c>
      <c r="K59" s="13">
        <f>ZMM</f>
        <v>420</v>
      </c>
      <c r="L59" s="13">
        <v>0</v>
      </c>
      <c r="M59" s="28">
        <v>0</v>
      </c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</row>
    <row r="60" spans="2:69" s="11" customFormat="1" ht="21" x14ac:dyDescent="0.35">
      <c r="B60" s="14" t="s">
        <v>94</v>
      </c>
      <c r="C60" s="12" t="s">
        <v>158</v>
      </c>
      <c r="D60" s="12" t="s">
        <v>22</v>
      </c>
      <c r="E60" s="12" t="s">
        <v>157</v>
      </c>
      <c r="F60" s="15" t="str">
        <f t="shared" si="2"/>
        <v>WA</v>
      </c>
      <c r="G60" s="25">
        <f t="shared" si="3"/>
        <v>27</v>
      </c>
      <c r="H60" s="25">
        <f>CEILING(SUM(LARGE(I60:BH60,{1,2,3,4,5})),1)</f>
        <v>2020</v>
      </c>
      <c r="I60" s="13">
        <v>77</v>
      </c>
      <c r="J60" s="13">
        <f>ZJJ</f>
        <v>370</v>
      </c>
      <c r="K60" s="13">
        <f>ZW*FL</f>
        <v>412.50000000000006</v>
      </c>
      <c r="L60" s="13">
        <f>ZZ</f>
        <v>399</v>
      </c>
      <c r="M60" s="28">
        <f>ZMM</f>
        <v>420</v>
      </c>
      <c r="N60" s="34">
        <f>ZP*FL</f>
        <v>418.00000000000006</v>
      </c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</row>
    <row r="61" spans="2:69" s="11" customFormat="1" ht="21" x14ac:dyDescent="0.35">
      <c r="B61" s="14" t="s">
        <v>94</v>
      </c>
      <c r="C61" s="12" t="s">
        <v>70</v>
      </c>
      <c r="D61" s="12" t="s">
        <v>12</v>
      </c>
      <c r="E61" s="12" t="s">
        <v>120</v>
      </c>
      <c r="F61" s="15" t="str">
        <f t="shared" si="2"/>
        <v>MB</v>
      </c>
      <c r="G61" s="25">
        <f t="shared" si="3"/>
        <v>53</v>
      </c>
      <c r="H61" s="25">
        <f>CEILING(SUM(LARGE(I61:BH61,{1,2,3,4,5})),1)</f>
        <v>876</v>
      </c>
      <c r="I61" s="13">
        <f>ZJ*FL</f>
        <v>295.90000000000003</v>
      </c>
      <c r="J61" s="13">
        <f>ZEE</f>
        <v>580</v>
      </c>
      <c r="K61" s="13">
        <v>0</v>
      </c>
      <c r="L61" s="13">
        <v>0</v>
      </c>
      <c r="M61" s="28">
        <v>0</v>
      </c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</row>
    <row r="62" spans="2:69" s="11" customFormat="1" ht="21" x14ac:dyDescent="0.35">
      <c r="B62" s="14" t="s">
        <v>94</v>
      </c>
      <c r="C62" s="12" t="s">
        <v>70</v>
      </c>
      <c r="D62" s="12" t="s">
        <v>12</v>
      </c>
      <c r="E62" s="12" t="s">
        <v>143</v>
      </c>
      <c r="F62" s="15" t="str">
        <f t="shared" si="2"/>
        <v>MA</v>
      </c>
      <c r="G62" s="25">
        <f t="shared" si="3"/>
        <v>25</v>
      </c>
      <c r="H62" s="25">
        <f>CEILING(SUM(LARGE(I62:BH62,{1,2,3,4,5})),1)</f>
        <v>2089</v>
      </c>
      <c r="I62" s="13">
        <f>ZJJ*FL</f>
        <v>407.00000000000006</v>
      </c>
      <c r="J62" s="13">
        <f>ZPP*FL</f>
        <v>627</v>
      </c>
      <c r="K62" s="13">
        <f>ZGG*FL</f>
        <v>385.00000000000006</v>
      </c>
      <c r="L62" s="13">
        <f>ZSS</f>
        <v>670</v>
      </c>
      <c r="M62" s="28">
        <v>0</v>
      </c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</row>
    <row r="63" spans="2:69" s="11" customFormat="1" ht="21" x14ac:dyDescent="0.35">
      <c r="B63" s="14" t="s">
        <v>94</v>
      </c>
      <c r="C63" s="12" t="s">
        <v>70</v>
      </c>
      <c r="D63" s="12" t="s">
        <v>12</v>
      </c>
      <c r="E63" s="12" t="s">
        <v>113</v>
      </c>
      <c r="F63" s="15" t="str">
        <f t="shared" si="2"/>
        <v>MA</v>
      </c>
      <c r="G63" s="25">
        <f t="shared" si="3"/>
        <v>3</v>
      </c>
      <c r="H63" s="25">
        <f>CEILING(SUM(LARGE(I63:BH63,{1,2,3,4,5})),1)</f>
        <v>3613</v>
      </c>
      <c r="I63" s="13">
        <f>ZDD*FL</f>
        <v>379.50000000000006</v>
      </c>
      <c r="J63" s="13">
        <f>ZJJ*FL</f>
        <v>407.00000000000006</v>
      </c>
      <c r="K63" s="13">
        <f>ZPP*FL</f>
        <v>627</v>
      </c>
      <c r="L63" s="13">
        <f>ZBB*FL</f>
        <v>599.5</v>
      </c>
      <c r="M63" s="28">
        <f>ZTT*FL</f>
        <v>693</v>
      </c>
      <c r="N63" s="34">
        <f>ZSS*FL</f>
        <v>737.00000000000011</v>
      </c>
      <c r="O63" s="34">
        <f>ZEE*FL</f>
        <v>638</v>
      </c>
      <c r="P63" s="34">
        <f>ZKK</f>
        <v>770</v>
      </c>
      <c r="Q63" s="34">
        <f>ZNN</f>
        <v>775</v>
      </c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</row>
    <row r="64" spans="2:69" s="11" customFormat="1" ht="21" x14ac:dyDescent="0.35">
      <c r="B64" s="14" t="s">
        <v>94</v>
      </c>
      <c r="C64" s="12" t="s">
        <v>83</v>
      </c>
      <c r="D64" s="12" t="s">
        <v>12</v>
      </c>
      <c r="E64" s="12" t="s">
        <v>177</v>
      </c>
      <c r="F64" s="15" t="str">
        <f t="shared" si="2"/>
        <v>MA</v>
      </c>
      <c r="G64" s="25">
        <f t="shared" si="3"/>
        <v>14</v>
      </c>
      <c r="H64" s="25">
        <f>CEILING(SUM(LARGE(I64:BH64,{1,2,3,4,5})),1)</f>
        <v>2360</v>
      </c>
      <c r="I64" s="13">
        <f>ZS*FL</f>
        <v>451.00000000000006</v>
      </c>
      <c r="J64" s="13">
        <f>ZBB</f>
        <v>545</v>
      </c>
      <c r="K64" s="13">
        <f>ZII*FL</f>
        <v>533.5</v>
      </c>
      <c r="L64" s="13">
        <f>ZW*FL</f>
        <v>412.50000000000006</v>
      </c>
      <c r="M64" s="28">
        <v>296</v>
      </c>
      <c r="N64" s="14">
        <f>ZZ</f>
        <v>399</v>
      </c>
      <c r="O64" s="14">
        <f>ZP*FL</f>
        <v>418.00000000000006</v>
      </c>
      <c r="P64" s="14"/>
      <c r="Q64" s="14"/>
      <c r="R64" s="1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</row>
    <row r="65" spans="2:69" s="11" customFormat="1" ht="21" x14ac:dyDescent="0.35">
      <c r="B65" s="14" t="s">
        <v>94</v>
      </c>
      <c r="C65" s="12" t="s">
        <v>70</v>
      </c>
      <c r="D65" s="12" t="s">
        <v>12</v>
      </c>
      <c r="E65" s="12" t="s">
        <v>140</v>
      </c>
      <c r="F65" s="15" t="str">
        <f t="shared" si="2"/>
        <v>MB</v>
      </c>
      <c r="G65" s="25">
        <f t="shared" si="3"/>
        <v>57</v>
      </c>
      <c r="H65" s="25">
        <f>CEILING(SUM(LARGE(I65:BH65,{1,2,3,4,5})),1)</f>
        <v>77</v>
      </c>
      <c r="I65" s="13">
        <f>ZA*FL</f>
        <v>77</v>
      </c>
      <c r="J65" s="13">
        <v>0</v>
      </c>
      <c r="K65" s="13">
        <v>0</v>
      </c>
      <c r="L65" s="13">
        <v>0</v>
      </c>
      <c r="M65" s="28">
        <v>0</v>
      </c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</row>
    <row r="66" spans="2:69" s="11" customFormat="1" ht="21" x14ac:dyDescent="0.35">
      <c r="B66" s="36"/>
      <c r="C66" s="24"/>
      <c r="D66" s="36"/>
      <c r="E66" s="24"/>
      <c r="F66" s="15" t="b">
        <f t="shared" si="2"/>
        <v>0</v>
      </c>
      <c r="G66" s="25">
        <f t="shared" si="3"/>
        <v>58</v>
      </c>
      <c r="H66" s="25">
        <f>CEILING(SUM(LARGE(I66:BH66,{1,2,3,4,5})),1)</f>
        <v>0</v>
      </c>
      <c r="I66" s="13">
        <v>0</v>
      </c>
      <c r="J66" s="13">
        <v>0</v>
      </c>
      <c r="K66" s="13">
        <v>0</v>
      </c>
      <c r="L66" s="13">
        <v>0</v>
      </c>
      <c r="M66" s="28">
        <v>0</v>
      </c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</row>
    <row r="67" spans="2:69" s="11" customFormat="1" ht="21" x14ac:dyDescent="0.35">
      <c r="B67" s="36"/>
      <c r="C67" s="24"/>
      <c r="D67" s="36"/>
      <c r="E67" s="24"/>
      <c r="F67" s="15" t="b">
        <f t="shared" si="2"/>
        <v>0</v>
      </c>
      <c r="G67" s="25">
        <f t="shared" si="3"/>
        <v>58</v>
      </c>
      <c r="H67" s="25">
        <f>CEILING(SUM(LARGE(I67:BH67,{1,2,3,4,5})),1)</f>
        <v>0</v>
      </c>
      <c r="I67" s="13">
        <v>0</v>
      </c>
      <c r="J67" s="13">
        <v>0</v>
      </c>
      <c r="K67" s="13">
        <v>0</v>
      </c>
      <c r="L67" s="13">
        <v>0</v>
      </c>
      <c r="M67" s="28">
        <v>0</v>
      </c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</row>
    <row r="68" spans="2:69" s="11" customFormat="1" ht="21" x14ac:dyDescent="0.35">
      <c r="B68" s="36"/>
      <c r="C68" s="24"/>
      <c r="D68" s="36"/>
      <c r="E68" s="24"/>
      <c r="F68" s="15" t="b">
        <f t="shared" ref="F68:F83" si="4">IF(D68=M,IF(H68&lt;=MBP,MB,IF(H68&lt;=MIP,MI,MA)),IF(D68=W,IF(H68&lt;=WBP,WB,IF(H68&lt;=WIP,WI,WA))))</f>
        <v>0</v>
      </c>
      <c r="G68" s="25">
        <f t="shared" ref="G68:G99" si="5">RANK(H68,$H$4:$H$83,0)</f>
        <v>58</v>
      </c>
      <c r="H68" s="25">
        <f>CEILING(SUM(LARGE(I68:BH68,{1,2,3,4,5})),1)</f>
        <v>0</v>
      </c>
      <c r="I68" s="13">
        <v>0</v>
      </c>
      <c r="J68" s="13">
        <v>0</v>
      </c>
      <c r="K68" s="13">
        <v>0</v>
      </c>
      <c r="L68" s="13">
        <v>0</v>
      </c>
      <c r="M68" s="28">
        <v>0</v>
      </c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</row>
    <row r="69" spans="2:69" s="11" customFormat="1" ht="21" x14ac:dyDescent="0.35">
      <c r="B69" s="36"/>
      <c r="C69" s="24"/>
      <c r="D69" s="36"/>
      <c r="E69" s="24"/>
      <c r="F69" s="15" t="b">
        <f t="shared" si="4"/>
        <v>0</v>
      </c>
      <c r="G69" s="25">
        <f t="shared" si="5"/>
        <v>58</v>
      </c>
      <c r="H69" s="25">
        <f>CEILING(SUM(LARGE(I69:BH69,{1,2,3,4,5})),1)</f>
        <v>0</v>
      </c>
      <c r="I69" s="13">
        <v>0</v>
      </c>
      <c r="J69" s="13">
        <v>0</v>
      </c>
      <c r="K69" s="13">
        <v>0</v>
      </c>
      <c r="L69" s="13">
        <v>0</v>
      </c>
      <c r="M69" s="28">
        <v>0</v>
      </c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</row>
    <row r="70" spans="2:69" s="11" customFormat="1" ht="21" x14ac:dyDescent="0.35">
      <c r="B70" s="36"/>
      <c r="C70" s="24"/>
      <c r="D70" s="36"/>
      <c r="E70" s="24"/>
      <c r="F70" s="15" t="b">
        <f t="shared" si="4"/>
        <v>0</v>
      </c>
      <c r="G70" s="25">
        <f t="shared" si="5"/>
        <v>58</v>
      </c>
      <c r="H70" s="25">
        <f>CEILING(SUM(LARGE(I70:BH70,{1,2,3,4,5})),1)</f>
        <v>0</v>
      </c>
      <c r="I70" s="13">
        <v>0</v>
      </c>
      <c r="J70" s="13">
        <v>0</v>
      </c>
      <c r="K70" s="13">
        <v>0</v>
      </c>
      <c r="L70" s="13">
        <v>0</v>
      </c>
      <c r="M70" s="28">
        <v>0</v>
      </c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</row>
    <row r="71" spans="2:69" s="11" customFormat="1" ht="21" x14ac:dyDescent="0.35">
      <c r="B71" s="36"/>
      <c r="C71" s="24"/>
      <c r="D71" s="36"/>
      <c r="E71" s="24"/>
      <c r="F71" s="15" t="b">
        <f t="shared" si="4"/>
        <v>0</v>
      </c>
      <c r="G71" s="25">
        <f t="shared" si="5"/>
        <v>58</v>
      </c>
      <c r="H71" s="25">
        <f>CEILING(SUM(LARGE(I71:BH71,{1,2,3,4,5})),1)</f>
        <v>0</v>
      </c>
      <c r="I71" s="13">
        <v>0</v>
      </c>
      <c r="J71" s="13">
        <v>0</v>
      </c>
      <c r="K71" s="13">
        <v>0</v>
      </c>
      <c r="L71" s="13">
        <v>0</v>
      </c>
      <c r="M71" s="28">
        <v>0</v>
      </c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</row>
    <row r="72" spans="2:69" s="11" customFormat="1" ht="21" x14ac:dyDescent="0.35">
      <c r="B72" s="36"/>
      <c r="C72" s="36"/>
      <c r="D72" s="36"/>
      <c r="E72" s="36"/>
      <c r="F72" s="15" t="b">
        <f t="shared" si="4"/>
        <v>0</v>
      </c>
      <c r="G72" s="25">
        <f t="shared" si="5"/>
        <v>58</v>
      </c>
      <c r="H72" s="25">
        <f>CEILING(SUM(LARGE(I72:BH72,{1,2,3,4,5})),1)</f>
        <v>0</v>
      </c>
      <c r="I72" s="13">
        <v>0</v>
      </c>
      <c r="J72" s="13">
        <v>0</v>
      </c>
      <c r="K72" s="13">
        <v>0</v>
      </c>
      <c r="L72" s="13">
        <v>0</v>
      </c>
      <c r="M72" s="28">
        <v>0</v>
      </c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</row>
    <row r="73" spans="2:69" s="11" customFormat="1" ht="21" x14ac:dyDescent="0.35">
      <c r="B73" s="36"/>
      <c r="C73" s="36"/>
      <c r="D73" s="36"/>
      <c r="E73" s="36"/>
      <c r="F73" s="15" t="b">
        <f t="shared" si="4"/>
        <v>0</v>
      </c>
      <c r="G73" s="25">
        <f t="shared" si="5"/>
        <v>58</v>
      </c>
      <c r="H73" s="25">
        <f>CEILING(SUM(LARGE(I73:BH73,{1,2,3,4,5})),1)</f>
        <v>0</v>
      </c>
      <c r="I73" s="13">
        <v>0</v>
      </c>
      <c r="J73" s="13">
        <v>0</v>
      </c>
      <c r="K73" s="13">
        <v>0</v>
      </c>
      <c r="L73" s="13">
        <v>0</v>
      </c>
      <c r="M73" s="28">
        <v>0</v>
      </c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</row>
    <row r="74" spans="2:69" s="11" customFormat="1" ht="21" x14ac:dyDescent="0.35">
      <c r="B74" s="36"/>
      <c r="C74" s="36"/>
      <c r="D74" s="36"/>
      <c r="E74" s="36"/>
      <c r="F74" s="15" t="b">
        <f t="shared" si="4"/>
        <v>0</v>
      </c>
      <c r="G74" s="25">
        <f t="shared" si="5"/>
        <v>58</v>
      </c>
      <c r="H74" s="25">
        <f>CEILING(SUM(LARGE(I74:BH74,{1,2,3,4,5})),1)</f>
        <v>0</v>
      </c>
      <c r="I74" s="13">
        <v>0</v>
      </c>
      <c r="J74" s="13">
        <v>0</v>
      </c>
      <c r="K74" s="13">
        <v>0</v>
      </c>
      <c r="L74" s="13">
        <v>0</v>
      </c>
      <c r="M74" s="28">
        <v>0</v>
      </c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</row>
    <row r="75" spans="2:69" s="11" customFormat="1" ht="21" x14ac:dyDescent="0.35">
      <c r="B75" s="14"/>
      <c r="C75" s="14"/>
      <c r="D75" s="14"/>
      <c r="E75" s="14"/>
      <c r="F75" s="15" t="b">
        <f t="shared" si="4"/>
        <v>0</v>
      </c>
      <c r="G75" s="25">
        <f t="shared" si="5"/>
        <v>58</v>
      </c>
      <c r="H75" s="25">
        <f>CEILING(SUM(LARGE(I75:BH75,{1,2,3,4,5})),1)</f>
        <v>0</v>
      </c>
      <c r="I75" s="13">
        <v>0</v>
      </c>
      <c r="J75" s="13">
        <v>0</v>
      </c>
      <c r="K75" s="13">
        <v>0</v>
      </c>
      <c r="L75" s="13">
        <v>0</v>
      </c>
      <c r="M75" s="28">
        <v>0</v>
      </c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</row>
    <row r="76" spans="2:69" s="11" customFormat="1" ht="21" x14ac:dyDescent="0.35">
      <c r="B76" s="14"/>
      <c r="C76" s="14"/>
      <c r="D76" s="14"/>
      <c r="E76" s="14"/>
      <c r="F76" s="15" t="b">
        <f t="shared" si="4"/>
        <v>0</v>
      </c>
      <c r="G76" s="25">
        <f t="shared" si="5"/>
        <v>58</v>
      </c>
      <c r="H76" s="25">
        <f>CEILING(SUM(LARGE(I76:BH76,{1,2,3,4,5})),1)</f>
        <v>0</v>
      </c>
      <c r="I76" s="13">
        <v>0</v>
      </c>
      <c r="J76" s="13">
        <v>0</v>
      </c>
      <c r="K76" s="13">
        <v>0</v>
      </c>
      <c r="L76" s="13">
        <v>0</v>
      </c>
      <c r="M76" s="28">
        <v>0</v>
      </c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</row>
    <row r="77" spans="2:69" s="11" customFormat="1" ht="21" x14ac:dyDescent="0.35">
      <c r="B77" s="14"/>
      <c r="C77" s="14"/>
      <c r="D77" s="14"/>
      <c r="E77" s="14"/>
      <c r="F77" s="15" t="b">
        <f t="shared" si="4"/>
        <v>0</v>
      </c>
      <c r="G77" s="25">
        <f t="shared" si="5"/>
        <v>58</v>
      </c>
      <c r="H77" s="25">
        <f>CEILING(SUM(LARGE(I77:BH77,{1,2,3,4,5})),1)</f>
        <v>0</v>
      </c>
      <c r="I77" s="13">
        <v>0</v>
      </c>
      <c r="J77" s="13">
        <v>0</v>
      </c>
      <c r="K77" s="13">
        <v>0</v>
      </c>
      <c r="L77" s="13">
        <v>0</v>
      </c>
      <c r="M77" s="28">
        <v>0</v>
      </c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</row>
    <row r="78" spans="2:69" s="11" customFormat="1" ht="21" x14ac:dyDescent="0.35">
      <c r="B78" s="14"/>
      <c r="C78" s="14"/>
      <c r="D78" s="14"/>
      <c r="E78" s="14"/>
      <c r="F78" s="15" t="b">
        <f t="shared" si="4"/>
        <v>0</v>
      </c>
      <c r="G78" s="25">
        <f t="shared" si="5"/>
        <v>58</v>
      </c>
      <c r="H78" s="25">
        <f>CEILING(SUM(LARGE(I78:BH78,{1,2,3,4,5})),1)</f>
        <v>0</v>
      </c>
      <c r="I78" s="13">
        <v>0</v>
      </c>
      <c r="J78" s="13">
        <v>0</v>
      </c>
      <c r="K78" s="13">
        <v>0</v>
      </c>
      <c r="L78" s="13">
        <v>0</v>
      </c>
      <c r="M78" s="28">
        <v>0</v>
      </c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</row>
    <row r="79" spans="2:69" s="11" customFormat="1" ht="21" x14ac:dyDescent="0.35">
      <c r="B79" s="14"/>
      <c r="C79" s="14"/>
      <c r="D79" s="14"/>
      <c r="E79" s="14"/>
      <c r="F79" s="15" t="b">
        <f t="shared" si="4"/>
        <v>0</v>
      </c>
      <c r="G79" s="25">
        <f t="shared" si="5"/>
        <v>58</v>
      </c>
      <c r="H79" s="25">
        <f>CEILING(SUM(LARGE(I79:BH79,{1,2,3,4,5})),1)</f>
        <v>0</v>
      </c>
      <c r="I79" s="13">
        <v>0</v>
      </c>
      <c r="J79" s="13">
        <v>0</v>
      </c>
      <c r="K79" s="13">
        <v>0</v>
      </c>
      <c r="L79" s="13">
        <v>0</v>
      </c>
      <c r="M79" s="28">
        <v>0</v>
      </c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</row>
    <row r="80" spans="2:69" s="11" customFormat="1" ht="21" x14ac:dyDescent="0.35">
      <c r="B80" s="14"/>
      <c r="C80" s="14"/>
      <c r="D80" s="14"/>
      <c r="E80" s="14"/>
      <c r="F80" s="15" t="b">
        <f t="shared" si="4"/>
        <v>0</v>
      </c>
      <c r="G80" s="25">
        <f t="shared" si="5"/>
        <v>58</v>
      </c>
      <c r="H80" s="25">
        <f>CEILING(SUM(LARGE(I80:BH80,{1,2,3,4,5})),1)</f>
        <v>0</v>
      </c>
      <c r="I80" s="13">
        <v>0</v>
      </c>
      <c r="J80" s="13">
        <v>0</v>
      </c>
      <c r="K80" s="13">
        <v>0</v>
      </c>
      <c r="L80" s="13">
        <v>0</v>
      </c>
      <c r="M80" s="28">
        <v>0</v>
      </c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</row>
    <row r="81" spans="2:69" s="11" customFormat="1" ht="21" x14ac:dyDescent="0.35">
      <c r="B81" s="14"/>
      <c r="C81" s="14"/>
      <c r="D81" s="14"/>
      <c r="E81" s="14"/>
      <c r="F81" s="15" t="b">
        <f t="shared" si="4"/>
        <v>0</v>
      </c>
      <c r="G81" s="25">
        <f t="shared" si="5"/>
        <v>58</v>
      </c>
      <c r="H81" s="25">
        <f>CEILING(SUM(LARGE(I81:BH81,{1,2,3,4,5})),1)</f>
        <v>0</v>
      </c>
      <c r="I81" s="13">
        <v>0</v>
      </c>
      <c r="J81" s="13">
        <v>0</v>
      </c>
      <c r="K81" s="13">
        <v>0</v>
      </c>
      <c r="L81" s="13">
        <v>0</v>
      </c>
      <c r="M81" s="28">
        <v>0</v>
      </c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</row>
    <row r="82" spans="2:69" s="11" customFormat="1" ht="21" x14ac:dyDescent="0.35">
      <c r="B82" s="14"/>
      <c r="C82" s="14"/>
      <c r="D82" s="14"/>
      <c r="E82" s="14"/>
      <c r="F82" s="15" t="b">
        <f t="shared" si="4"/>
        <v>0</v>
      </c>
      <c r="G82" s="25">
        <f t="shared" si="5"/>
        <v>58</v>
      </c>
      <c r="H82" s="25">
        <f>CEILING(SUM(LARGE(I82:BH82,{1,2,3,4,5})),1)</f>
        <v>0</v>
      </c>
      <c r="I82" s="13">
        <v>0</v>
      </c>
      <c r="J82" s="13">
        <v>0</v>
      </c>
      <c r="K82" s="13">
        <v>0</v>
      </c>
      <c r="L82" s="13">
        <v>0</v>
      </c>
      <c r="M82" s="28">
        <v>0</v>
      </c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</row>
    <row r="83" spans="2:69" s="11" customFormat="1" ht="21" x14ac:dyDescent="0.35">
      <c r="B83" s="14"/>
      <c r="C83" s="14"/>
      <c r="D83" s="14"/>
      <c r="E83" s="14"/>
      <c r="F83" s="15" t="b">
        <f t="shared" si="4"/>
        <v>0</v>
      </c>
      <c r="G83" s="25">
        <f t="shared" si="5"/>
        <v>58</v>
      </c>
      <c r="H83" s="25">
        <f>CEILING(SUM(LARGE(I83:BH83,{1,2,3,4,5})),1)</f>
        <v>0</v>
      </c>
      <c r="I83" s="13">
        <v>0</v>
      </c>
      <c r="J83" s="13">
        <v>0</v>
      </c>
      <c r="K83" s="13">
        <v>0</v>
      </c>
      <c r="L83" s="13">
        <v>0</v>
      </c>
      <c r="M83" s="28">
        <v>0</v>
      </c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</row>
    <row r="84" spans="2:69" s="11" customFormat="1" x14ac:dyDescent="0.25"/>
    <row r="85" spans="2:69" s="11" customFormat="1" x14ac:dyDescent="0.25"/>
    <row r="86" spans="2:69" s="11" customFormat="1" x14ac:dyDescent="0.25"/>
    <row r="87" spans="2:69" s="11" customFormat="1" x14ac:dyDescent="0.25"/>
    <row r="88" spans="2:69" s="11" customFormat="1" x14ac:dyDescent="0.25"/>
    <row r="89" spans="2:69" s="11" customFormat="1" x14ac:dyDescent="0.25"/>
    <row r="90" spans="2:69" s="11" customFormat="1" x14ac:dyDescent="0.25"/>
    <row r="91" spans="2:69" s="11" customFormat="1" x14ac:dyDescent="0.25"/>
    <row r="92" spans="2:69" s="11" customFormat="1" x14ac:dyDescent="0.25"/>
    <row r="93" spans="2:69" s="11" customFormat="1" x14ac:dyDescent="0.25"/>
    <row r="94" spans="2:69" s="11" customFormat="1" x14ac:dyDescent="0.25"/>
    <row r="95" spans="2:69" s="11" customFormat="1" x14ac:dyDescent="0.25"/>
    <row r="96" spans="2:69" s="11" customFormat="1" x14ac:dyDescent="0.25"/>
    <row r="97" s="11" customFormat="1" x14ac:dyDescent="0.25"/>
    <row r="98" s="11" customFormat="1" x14ac:dyDescent="0.25"/>
    <row r="99" s="11" customFormat="1" x14ac:dyDescent="0.25"/>
  </sheetData>
  <autoFilter ref="E3:E83">
    <sortState ref="B4:R83">
      <sortCondition ref="E3:E83"/>
    </sortState>
  </autoFilter>
  <conditionalFormatting sqref="B4:B83">
    <cfRule type="containsText" dxfId="0" priority="1" operator="containsText" text="NO">
      <formula>NOT(ISERROR(SEARCH("NO",B4)))</formula>
    </cfRule>
  </conditionalFormatting>
  <pageMargins left="0.7" right="0.7" top="0.75" bottom="0.75" header="0.3" footer="0.3"/>
  <pageSetup orientation="portrait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 enableFormatConditionsCalculation="0"/>
  <dimension ref="B2:N28"/>
  <sheetViews>
    <sheetView workbookViewId="0">
      <selection activeCell="J10" sqref="J10"/>
    </sheetView>
  </sheetViews>
  <sheetFormatPr defaultColWidth="8.85546875" defaultRowHeight="15" x14ac:dyDescent="0.25"/>
  <cols>
    <col min="2" max="2" width="11.7109375" customWidth="1"/>
    <col min="3" max="3" width="12" customWidth="1"/>
    <col min="4" max="4" width="7.28515625" customWidth="1"/>
    <col min="5" max="5" width="11.42578125" customWidth="1"/>
    <col min="6" max="6" width="11.85546875" customWidth="1"/>
    <col min="7" max="7" width="6.42578125" customWidth="1"/>
    <col min="9" max="9" width="12.7109375" customWidth="1"/>
    <col min="10" max="10" width="11" customWidth="1"/>
    <col min="13" max="13" width="35" customWidth="1"/>
  </cols>
  <sheetData>
    <row r="2" spans="2:14" x14ac:dyDescent="0.25">
      <c r="B2" s="7" t="s">
        <v>56</v>
      </c>
      <c r="C2" s="7" t="s">
        <v>57</v>
      </c>
      <c r="D2" s="7" t="s">
        <v>58</v>
      </c>
      <c r="E2" s="7" t="s">
        <v>56</v>
      </c>
      <c r="F2" s="7" t="s">
        <v>57</v>
      </c>
      <c r="G2" s="7" t="s">
        <v>58</v>
      </c>
      <c r="I2" s="2" t="s">
        <v>59</v>
      </c>
      <c r="J2" s="9">
        <v>1.1000000000000001</v>
      </c>
      <c r="K2" s="10">
        <f>FL-1</f>
        <v>0.10000000000000009</v>
      </c>
      <c r="M2" s="6" t="s">
        <v>60</v>
      </c>
      <c r="N2" s="6" t="s">
        <v>68</v>
      </c>
    </row>
    <row r="3" spans="2:14" x14ac:dyDescent="0.25">
      <c r="B3" s="1" t="s">
        <v>0</v>
      </c>
      <c r="C3" s="3">
        <v>70</v>
      </c>
      <c r="D3" s="3" t="s">
        <v>144</v>
      </c>
      <c r="E3" s="1" t="s">
        <v>26</v>
      </c>
      <c r="F3" s="4">
        <v>295</v>
      </c>
      <c r="G3" s="4" t="s">
        <v>146</v>
      </c>
      <c r="M3" s="2" t="s">
        <v>62</v>
      </c>
      <c r="N3" s="2" t="s">
        <v>70</v>
      </c>
    </row>
    <row r="4" spans="2:14" x14ac:dyDescent="0.25">
      <c r="B4" s="1" t="s">
        <v>1</v>
      </c>
      <c r="C4" s="3">
        <v>60</v>
      </c>
      <c r="D4" s="3" t="s">
        <v>144</v>
      </c>
      <c r="E4" s="1" t="s">
        <v>27</v>
      </c>
      <c r="F4" s="4">
        <v>545</v>
      </c>
      <c r="G4" s="4" t="s">
        <v>149</v>
      </c>
      <c r="I4" s="7" t="s">
        <v>75</v>
      </c>
      <c r="J4" s="6" t="s">
        <v>82</v>
      </c>
      <c r="M4" s="2" t="s">
        <v>63</v>
      </c>
      <c r="N4" s="2" t="s">
        <v>83</v>
      </c>
    </row>
    <row r="5" spans="2:14" x14ac:dyDescent="0.25">
      <c r="B5" s="1" t="s">
        <v>2</v>
      </c>
      <c r="C5" s="8">
        <v>50</v>
      </c>
      <c r="D5" s="3" t="s">
        <v>144</v>
      </c>
      <c r="E5" s="1" t="s">
        <v>28</v>
      </c>
      <c r="F5" s="4">
        <v>469</v>
      </c>
      <c r="G5" s="4" t="s">
        <v>148</v>
      </c>
      <c r="I5" s="9" t="s">
        <v>76</v>
      </c>
      <c r="J5" s="9">
        <f>ZQQ+ZNN+ZKK+ZSS+ZHH</f>
        <v>3685</v>
      </c>
      <c r="K5" t="s">
        <v>101</v>
      </c>
      <c r="M5" s="2" t="s">
        <v>64</v>
      </c>
      <c r="N5" s="2" t="s">
        <v>89</v>
      </c>
    </row>
    <row r="6" spans="2:14" x14ac:dyDescent="0.25">
      <c r="B6" s="1" t="s">
        <v>3</v>
      </c>
      <c r="C6" s="3">
        <v>80</v>
      </c>
      <c r="D6" s="3" t="s">
        <v>144</v>
      </c>
      <c r="E6" s="1" t="s">
        <v>29</v>
      </c>
      <c r="F6" s="4">
        <v>345</v>
      </c>
      <c r="G6" s="4" t="s">
        <v>147</v>
      </c>
      <c r="I6" s="9" t="s">
        <v>77</v>
      </c>
      <c r="J6" s="9">
        <f>ZZ+ZP+ZW+ZJJ+ZT</f>
        <v>1893</v>
      </c>
      <c r="K6" t="s">
        <v>123</v>
      </c>
      <c r="M6" s="2" t="s">
        <v>65</v>
      </c>
      <c r="N6" s="2" t="s">
        <v>71</v>
      </c>
    </row>
    <row r="7" spans="2:14" x14ac:dyDescent="0.25">
      <c r="B7" s="1" t="s">
        <v>4</v>
      </c>
      <c r="C7" s="3">
        <v>69</v>
      </c>
      <c r="D7" s="3" t="s">
        <v>144</v>
      </c>
      <c r="E7" s="1" t="s">
        <v>30</v>
      </c>
      <c r="F7" s="4">
        <v>580</v>
      </c>
      <c r="G7" s="4" t="s">
        <v>149</v>
      </c>
      <c r="I7" s="9" t="s">
        <v>78</v>
      </c>
      <c r="J7" s="9">
        <f>ZAA+ZQ+ZN+ZM+ZJ</f>
        <v>1414</v>
      </c>
      <c r="K7" t="s">
        <v>99</v>
      </c>
      <c r="M7" s="2" t="s">
        <v>66</v>
      </c>
      <c r="N7" s="2" t="s">
        <v>72</v>
      </c>
    </row>
    <row r="8" spans="2:14" x14ac:dyDescent="0.25">
      <c r="B8" s="1" t="s">
        <v>5</v>
      </c>
      <c r="C8" s="3">
        <v>110</v>
      </c>
      <c r="D8" s="3" t="s">
        <v>145</v>
      </c>
      <c r="E8" s="1" t="s">
        <v>31</v>
      </c>
      <c r="F8" s="4">
        <v>480</v>
      </c>
      <c r="G8" s="4" t="s">
        <v>148</v>
      </c>
      <c r="I8" s="9" t="s">
        <v>79</v>
      </c>
      <c r="J8" s="9">
        <f>ZQQ+ZNN+ZKK+ZSS+ZHH</f>
        <v>3685</v>
      </c>
      <c r="K8" t="s">
        <v>124</v>
      </c>
      <c r="M8" s="2" t="s">
        <v>67</v>
      </c>
      <c r="N8" s="2" t="s">
        <v>61</v>
      </c>
    </row>
    <row r="9" spans="2:14" x14ac:dyDescent="0.25">
      <c r="B9" s="1" t="s">
        <v>6</v>
      </c>
      <c r="C9" s="3">
        <v>121</v>
      </c>
      <c r="D9" s="3" t="s">
        <v>145</v>
      </c>
      <c r="E9" s="1" t="s">
        <v>32</v>
      </c>
      <c r="F9" s="4">
        <v>350</v>
      </c>
      <c r="G9" s="4" t="s">
        <v>147</v>
      </c>
      <c r="I9" s="9" t="s">
        <v>80</v>
      </c>
      <c r="J9" s="9">
        <v>1800</v>
      </c>
      <c r="K9" t="s">
        <v>100</v>
      </c>
      <c r="M9" s="5" t="s">
        <v>69</v>
      </c>
      <c r="N9" s="2" t="s">
        <v>73</v>
      </c>
    </row>
    <row r="10" spans="2:14" x14ac:dyDescent="0.25">
      <c r="B10" s="1" t="s">
        <v>7</v>
      </c>
      <c r="C10" s="3">
        <v>130</v>
      </c>
      <c r="D10" s="3" t="s">
        <v>145</v>
      </c>
      <c r="E10" s="1" t="s">
        <v>33</v>
      </c>
      <c r="F10" s="4">
        <v>650</v>
      </c>
      <c r="G10" s="4" t="s">
        <v>150</v>
      </c>
      <c r="I10" s="9" t="s">
        <v>81</v>
      </c>
      <c r="J10" s="9">
        <f>ZL+ZO+ZI+ZK+ZH</f>
        <v>817</v>
      </c>
      <c r="K10" t="s">
        <v>98</v>
      </c>
      <c r="M10" s="2"/>
      <c r="N10" s="2"/>
    </row>
    <row r="11" spans="2:14" x14ac:dyDescent="0.25">
      <c r="B11" s="1" t="s">
        <v>8</v>
      </c>
      <c r="C11" s="3">
        <v>169</v>
      </c>
      <c r="D11" s="3" t="s">
        <v>145</v>
      </c>
      <c r="E11" s="1" t="s">
        <v>34</v>
      </c>
      <c r="F11" s="4">
        <v>485</v>
      </c>
      <c r="G11" s="4" t="s">
        <v>148</v>
      </c>
      <c r="M11" s="2"/>
      <c r="N11" s="2"/>
    </row>
    <row r="12" spans="2:14" x14ac:dyDescent="0.25">
      <c r="B12" s="1" t="s">
        <v>9</v>
      </c>
      <c r="C12" s="3">
        <v>269</v>
      </c>
      <c r="D12" s="3" t="s">
        <v>146</v>
      </c>
      <c r="E12" s="1" t="s">
        <v>35</v>
      </c>
      <c r="F12" s="4">
        <v>370</v>
      </c>
      <c r="G12" s="4" t="s">
        <v>147</v>
      </c>
      <c r="I12" s="48" t="s">
        <v>84</v>
      </c>
      <c r="J12" s="48"/>
      <c r="M12" s="2"/>
      <c r="N12" s="2"/>
    </row>
    <row r="13" spans="2:14" x14ac:dyDescent="0.25">
      <c r="B13" s="1" t="s">
        <v>10</v>
      </c>
      <c r="C13" s="3">
        <v>143</v>
      </c>
      <c r="D13" s="3" t="s">
        <v>145</v>
      </c>
      <c r="E13" s="1" t="s">
        <v>36</v>
      </c>
      <c r="F13" s="4">
        <v>770</v>
      </c>
      <c r="G13" s="4" t="s">
        <v>151</v>
      </c>
      <c r="I13" s="2" t="s">
        <v>85</v>
      </c>
      <c r="J13" s="9" t="s">
        <v>12</v>
      </c>
      <c r="M13" s="2"/>
      <c r="N13" s="2"/>
    </row>
    <row r="14" spans="2:14" x14ac:dyDescent="0.25">
      <c r="B14" s="1" t="s">
        <v>11</v>
      </c>
      <c r="C14" s="3">
        <v>180</v>
      </c>
      <c r="D14" s="3" t="s">
        <v>145</v>
      </c>
      <c r="E14" s="1" t="s">
        <v>37</v>
      </c>
      <c r="F14" s="4">
        <v>535</v>
      </c>
      <c r="G14" s="4" t="s">
        <v>149</v>
      </c>
      <c r="I14" s="2" t="s">
        <v>86</v>
      </c>
      <c r="J14" s="9" t="s">
        <v>22</v>
      </c>
      <c r="M14" s="2"/>
      <c r="N14" s="2"/>
    </row>
    <row r="15" spans="2:14" x14ac:dyDescent="0.25">
      <c r="B15" s="1" t="s">
        <v>12</v>
      </c>
      <c r="C15" s="3">
        <v>275</v>
      </c>
      <c r="D15" s="3" t="s">
        <v>146</v>
      </c>
      <c r="E15" s="1" t="s">
        <v>38</v>
      </c>
      <c r="F15" s="4">
        <v>420</v>
      </c>
      <c r="G15" s="4" t="s">
        <v>148</v>
      </c>
      <c r="M15" s="2"/>
      <c r="N15" s="2"/>
    </row>
    <row r="16" spans="2:14" x14ac:dyDescent="0.25">
      <c r="B16" s="1" t="s">
        <v>13</v>
      </c>
      <c r="C16" s="3">
        <v>285</v>
      </c>
      <c r="D16" s="3" t="s">
        <v>146</v>
      </c>
      <c r="E16" s="1" t="s">
        <v>39</v>
      </c>
      <c r="F16" s="4">
        <v>775</v>
      </c>
      <c r="G16" s="4" t="s">
        <v>151</v>
      </c>
      <c r="I16" s="21"/>
      <c r="J16" s="21"/>
    </row>
    <row r="17" spans="2:10" x14ac:dyDescent="0.25">
      <c r="B17" s="1" t="s">
        <v>14</v>
      </c>
      <c r="C17" s="3">
        <v>195</v>
      </c>
      <c r="D17" s="3" t="s">
        <v>145</v>
      </c>
      <c r="E17" s="1" t="s">
        <v>40</v>
      </c>
      <c r="F17" s="4">
        <v>560</v>
      </c>
      <c r="G17" s="4" t="s">
        <v>149</v>
      </c>
      <c r="I17" s="22"/>
      <c r="J17" s="22"/>
    </row>
    <row r="18" spans="2:10" x14ac:dyDescent="0.25">
      <c r="B18" s="1" t="s">
        <v>15</v>
      </c>
      <c r="C18" s="3">
        <v>380</v>
      </c>
      <c r="D18" s="3" t="s">
        <v>147</v>
      </c>
      <c r="E18" s="1" t="s">
        <v>41</v>
      </c>
      <c r="F18" s="4">
        <v>570</v>
      </c>
      <c r="G18" s="4" t="s">
        <v>149</v>
      </c>
      <c r="I18" s="22"/>
      <c r="J18" s="22"/>
    </row>
    <row r="19" spans="2:10" x14ac:dyDescent="0.25">
      <c r="B19" s="1" t="s">
        <v>16</v>
      </c>
      <c r="C19" s="3">
        <v>290</v>
      </c>
      <c r="D19" s="3" t="s">
        <v>146</v>
      </c>
      <c r="E19" s="1" t="s">
        <v>42</v>
      </c>
      <c r="F19" s="4">
        <v>820</v>
      </c>
      <c r="G19" s="4" t="s">
        <v>152</v>
      </c>
    </row>
    <row r="20" spans="2:10" x14ac:dyDescent="0.25">
      <c r="B20" s="1" t="s">
        <v>17</v>
      </c>
      <c r="C20" s="8">
        <v>230</v>
      </c>
      <c r="D20" s="3" t="s">
        <v>146</v>
      </c>
      <c r="E20" s="1" t="s">
        <v>43</v>
      </c>
      <c r="F20" s="4">
        <v>590</v>
      </c>
      <c r="G20" s="4" t="s">
        <v>149</v>
      </c>
    </row>
    <row r="21" spans="2:10" x14ac:dyDescent="0.25">
      <c r="B21" s="1" t="s">
        <v>18</v>
      </c>
      <c r="C21" s="3">
        <v>410</v>
      </c>
      <c r="D21" s="3" t="s">
        <v>148</v>
      </c>
      <c r="E21" s="1" t="s">
        <v>44</v>
      </c>
      <c r="F21" s="4">
        <v>670</v>
      </c>
      <c r="G21" s="4" t="s">
        <v>150</v>
      </c>
    </row>
    <row r="22" spans="2:10" x14ac:dyDescent="0.25">
      <c r="B22" s="1" t="s">
        <v>19</v>
      </c>
      <c r="C22" s="3">
        <v>369</v>
      </c>
      <c r="D22" s="3" t="s">
        <v>147</v>
      </c>
      <c r="E22" s="1" t="s">
        <v>45</v>
      </c>
      <c r="F22" s="4">
        <v>630</v>
      </c>
      <c r="G22" s="4" t="s">
        <v>150</v>
      </c>
    </row>
    <row r="23" spans="2:10" x14ac:dyDescent="0.25">
      <c r="B23" s="1" t="s">
        <v>20</v>
      </c>
      <c r="C23" s="3">
        <v>250</v>
      </c>
      <c r="D23" s="3" t="s">
        <v>146</v>
      </c>
      <c r="E23" s="1" t="s">
        <v>46</v>
      </c>
      <c r="F23" s="4"/>
      <c r="G23" s="4"/>
    </row>
    <row r="24" spans="2:10" x14ac:dyDescent="0.25">
      <c r="B24" s="1" t="s">
        <v>21</v>
      </c>
      <c r="C24" s="3">
        <v>475</v>
      </c>
      <c r="D24" s="3" t="s">
        <v>148</v>
      </c>
      <c r="E24" s="1" t="s">
        <v>47</v>
      </c>
      <c r="F24" s="4"/>
      <c r="G24" s="4"/>
    </row>
    <row r="25" spans="2:10" x14ac:dyDescent="0.25">
      <c r="B25" s="1" t="s">
        <v>22</v>
      </c>
      <c r="C25" s="3">
        <v>375</v>
      </c>
      <c r="D25" s="3" t="s">
        <v>147</v>
      </c>
      <c r="E25" s="1" t="s">
        <v>48</v>
      </c>
      <c r="F25" s="4"/>
      <c r="G25" s="4"/>
    </row>
    <row r="26" spans="2:10" x14ac:dyDescent="0.25">
      <c r="B26" s="1" t="s">
        <v>23</v>
      </c>
      <c r="C26" s="3">
        <v>260</v>
      </c>
      <c r="D26" s="3" t="s">
        <v>146</v>
      </c>
      <c r="E26" s="1" t="s">
        <v>49</v>
      </c>
      <c r="F26" s="4"/>
      <c r="G26" s="4"/>
    </row>
    <row r="27" spans="2:10" x14ac:dyDescent="0.25">
      <c r="B27" s="1" t="s">
        <v>24</v>
      </c>
      <c r="C27" s="3">
        <v>499</v>
      </c>
      <c r="D27" s="3" t="s">
        <v>148</v>
      </c>
      <c r="E27" s="1" t="s">
        <v>50</v>
      </c>
      <c r="F27" s="4"/>
      <c r="G27" s="4"/>
    </row>
    <row r="28" spans="2:10" x14ac:dyDescent="0.25">
      <c r="B28" s="1" t="s">
        <v>25</v>
      </c>
      <c r="C28" s="3">
        <v>399</v>
      </c>
      <c r="D28" s="3" t="s">
        <v>147</v>
      </c>
      <c r="E28" s="1" t="s">
        <v>51</v>
      </c>
      <c r="F28" s="4"/>
      <c r="G28" s="4"/>
    </row>
  </sheetData>
  <mergeCells count="1">
    <mergeCell ref="I12:J12"/>
  </mergeCells>
  <pageMargins left="0.7" right="0.7" top="0.75" bottom="0.75" header="0.3" footer="0.3"/>
  <pageSetup orientation="portrait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Views>
    <sheetView tabSelected="1" zoomScale="80" zoomScaleNormal="80" workbookViewId="0">
      <selection activeCell="I12" sqref="I12"/>
    </sheetView>
  </sheetViews>
  <sheetFormatPr defaultColWidth="11.42578125" defaultRowHeight="15" x14ac:dyDescent="0.25"/>
  <cols>
    <col min="1" max="1" width="25.85546875" customWidth="1"/>
    <col min="2" max="2" width="7.140625" customWidth="1"/>
    <col min="5" max="5" width="7.7109375" customWidth="1"/>
    <col min="6" max="6" width="16.7109375" customWidth="1"/>
    <col min="9" max="9" width="7.28515625" customWidth="1"/>
    <col min="10" max="10" width="15.85546875" customWidth="1"/>
    <col min="11" max="11" width="8.85546875" customWidth="1"/>
    <col min="12" max="12" width="7.7109375" customWidth="1"/>
    <col min="15" max="15" width="16.140625" customWidth="1"/>
    <col min="16" max="16" width="9.5703125" customWidth="1"/>
  </cols>
  <sheetData>
    <row r="1" spans="1:16" x14ac:dyDescent="0.25">
      <c r="A1" s="18" t="s">
        <v>93</v>
      </c>
      <c r="B1" t="s">
        <v>97</v>
      </c>
    </row>
    <row r="2" spans="1:16" x14ac:dyDescent="0.25">
      <c r="A2" s="18" t="s">
        <v>90</v>
      </c>
      <c r="B2" t="s">
        <v>97</v>
      </c>
    </row>
    <row r="3" spans="1:16" x14ac:dyDescent="0.25">
      <c r="A3" s="18" t="s">
        <v>52</v>
      </c>
      <c r="B3" t="s">
        <v>97</v>
      </c>
    </row>
    <row r="5" spans="1:16" x14ac:dyDescent="0.25">
      <c r="A5" s="18" t="s">
        <v>95</v>
      </c>
    </row>
    <row r="6" spans="1:16" x14ac:dyDescent="0.25">
      <c r="A6" s="18" t="s">
        <v>91</v>
      </c>
      <c r="B6" t="s">
        <v>153</v>
      </c>
    </row>
    <row r="7" spans="1:16" ht="21" x14ac:dyDescent="0.35">
      <c r="A7" s="19" t="s">
        <v>76</v>
      </c>
      <c r="B7" s="20">
        <v>69118</v>
      </c>
      <c r="E7" s="49" t="s">
        <v>178</v>
      </c>
      <c r="F7" s="49"/>
    </row>
    <row r="8" spans="1:16" x14ac:dyDescent="0.25">
      <c r="A8" s="38" t="s">
        <v>154</v>
      </c>
      <c r="B8" s="39">
        <v>3895</v>
      </c>
      <c r="C8">
        <v>100</v>
      </c>
      <c r="E8" s="50" t="s">
        <v>179</v>
      </c>
      <c r="F8" s="51"/>
      <c r="P8" s="42"/>
    </row>
    <row r="9" spans="1:16" x14ac:dyDescent="0.25">
      <c r="A9" s="38" t="s">
        <v>155</v>
      </c>
      <c r="B9" s="39">
        <v>3828</v>
      </c>
      <c r="C9">
        <v>60</v>
      </c>
      <c r="E9" s="9">
        <v>1</v>
      </c>
      <c r="F9" s="2" t="s">
        <v>188</v>
      </c>
      <c r="P9" s="42"/>
    </row>
    <row r="10" spans="1:16" x14ac:dyDescent="0.25">
      <c r="A10" s="38" t="s">
        <v>113</v>
      </c>
      <c r="B10" s="39">
        <v>3613</v>
      </c>
      <c r="C10">
        <v>30</v>
      </c>
      <c r="E10" s="9">
        <v>2</v>
      </c>
      <c r="F10" s="2" t="s">
        <v>187</v>
      </c>
      <c r="P10" s="42"/>
    </row>
    <row r="11" spans="1:16" x14ac:dyDescent="0.25">
      <c r="A11" s="38" t="s">
        <v>160</v>
      </c>
      <c r="B11" s="39">
        <v>3350</v>
      </c>
      <c r="C11">
        <v>40</v>
      </c>
      <c r="E11" s="9">
        <v>3</v>
      </c>
      <c r="F11" s="2" t="s">
        <v>190</v>
      </c>
      <c r="P11" s="42"/>
    </row>
    <row r="12" spans="1:16" x14ac:dyDescent="0.25">
      <c r="A12" s="38" t="s">
        <v>117</v>
      </c>
      <c r="B12" s="39">
        <v>3320</v>
      </c>
      <c r="C12">
        <v>20</v>
      </c>
      <c r="E12" s="9">
        <v>4</v>
      </c>
      <c r="F12" s="2" t="s">
        <v>189</v>
      </c>
      <c r="P12" s="42"/>
    </row>
    <row r="13" spans="1:16" x14ac:dyDescent="0.25">
      <c r="A13" s="23" t="s">
        <v>103</v>
      </c>
      <c r="B13" s="20">
        <v>3266</v>
      </c>
      <c r="C13">
        <v>10</v>
      </c>
      <c r="E13" s="9">
        <v>5</v>
      </c>
      <c r="F13" s="2" t="s">
        <v>186</v>
      </c>
      <c r="P13" s="42"/>
    </row>
    <row r="14" spans="1:16" x14ac:dyDescent="0.25">
      <c r="A14" s="23" t="s">
        <v>175</v>
      </c>
      <c r="B14" s="20">
        <v>3209</v>
      </c>
      <c r="C14">
        <v>6</v>
      </c>
      <c r="E14" s="50" t="s">
        <v>180</v>
      </c>
      <c r="F14" s="51"/>
      <c r="P14" s="42"/>
    </row>
    <row r="15" spans="1:16" x14ac:dyDescent="0.25">
      <c r="A15" s="23" t="s">
        <v>169</v>
      </c>
      <c r="B15" s="20">
        <v>2980</v>
      </c>
      <c r="C15">
        <v>4</v>
      </c>
      <c r="E15" s="9">
        <v>1</v>
      </c>
      <c r="F15" s="2" t="s">
        <v>183</v>
      </c>
      <c r="P15" s="42"/>
    </row>
    <row r="16" spans="1:16" x14ac:dyDescent="0.25">
      <c r="A16" s="23" t="s">
        <v>159</v>
      </c>
      <c r="B16" s="20">
        <v>2925</v>
      </c>
      <c r="C16">
        <v>3</v>
      </c>
      <c r="E16" s="9">
        <v>2</v>
      </c>
      <c r="F16" s="2" t="s">
        <v>184</v>
      </c>
      <c r="P16" s="42"/>
    </row>
    <row r="17" spans="1:16" x14ac:dyDescent="0.25">
      <c r="A17" s="23" t="s">
        <v>114</v>
      </c>
      <c r="B17" s="20">
        <v>2912</v>
      </c>
      <c r="C17">
        <v>2</v>
      </c>
      <c r="E17" s="9">
        <v>3</v>
      </c>
      <c r="F17" s="2" t="s">
        <v>185</v>
      </c>
      <c r="P17" s="42"/>
    </row>
    <row r="18" spans="1:16" x14ac:dyDescent="0.25">
      <c r="A18" s="23" t="s">
        <v>128</v>
      </c>
      <c r="B18" s="20">
        <v>2540</v>
      </c>
      <c r="C18">
        <v>1</v>
      </c>
      <c r="E18" s="9">
        <v>4</v>
      </c>
      <c r="F18" s="2" t="s">
        <v>181</v>
      </c>
      <c r="P18" s="42"/>
    </row>
    <row r="19" spans="1:16" x14ac:dyDescent="0.25">
      <c r="A19" s="23" t="s">
        <v>119</v>
      </c>
      <c r="B19" s="20">
        <v>2516</v>
      </c>
      <c r="C19">
        <v>1</v>
      </c>
      <c r="E19" s="9">
        <v>5</v>
      </c>
      <c r="F19" s="2" t="s">
        <v>182</v>
      </c>
    </row>
    <row r="20" spans="1:16" x14ac:dyDescent="0.25">
      <c r="A20" s="23" t="s">
        <v>162</v>
      </c>
      <c r="B20" s="20">
        <v>2515</v>
      </c>
      <c r="C20">
        <v>1</v>
      </c>
    </row>
    <row r="21" spans="1:16" x14ac:dyDescent="0.25">
      <c r="A21" s="23" t="s">
        <v>177</v>
      </c>
      <c r="B21" s="20">
        <v>2360</v>
      </c>
      <c r="C21">
        <v>1</v>
      </c>
      <c r="P21" s="41"/>
    </row>
    <row r="22" spans="1:16" x14ac:dyDescent="0.25">
      <c r="A22" s="23" t="s">
        <v>110</v>
      </c>
      <c r="B22" s="20">
        <v>2305</v>
      </c>
      <c r="C22">
        <v>1</v>
      </c>
      <c r="E22" s="35" t="s">
        <v>74</v>
      </c>
      <c r="F22" s="35" t="s">
        <v>193</v>
      </c>
      <c r="G22" s="35" t="s">
        <v>191</v>
      </c>
      <c r="H22" s="35" t="s">
        <v>194</v>
      </c>
      <c r="I22" s="35" t="s">
        <v>192</v>
      </c>
      <c r="J22" s="45" t="s">
        <v>195</v>
      </c>
      <c r="P22" s="41"/>
    </row>
    <row r="23" spans="1:16" x14ac:dyDescent="0.25">
      <c r="A23" s="23" t="s">
        <v>135</v>
      </c>
      <c r="B23" s="20">
        <v>2270</v>
      </c>
      <c r="C23">
        <v>1</v>
      </c>
      <c r="E23" s="44" t="s">
        <v>79</v>
      </c>
      <c r="F23" s="46">
        <f>C73</f>
        <v>100</v>
      </c>
      <c r="G23" s="46">
        <f>C71+C72+C75</f>
        <v>110</v>
      </c>
      <c r="H23" s="47">
        <v>0</v>
      </c>
      <c r="I23" s="9">
        <f>C74+C76</f>
        <v>50</v>
      </c>
      <c r="J23" s="9" t="s">
        <v>191</v>
      </c>
      <c r="P23" s="41"/>
    </row>
    <row r="24" spans="1:16" x14ac:dyDescent="0.25">
      <c r="A24" s="23" t="s">
        <v>109</v>
      </c>
      <c r="B24" s="20">
        <v>2264</v>
      </c>
      <c r="C24">
        <v>1</v>
      </c>
      <c r="E24" s="2" t="s">
        <v>80</v>
      </c>
      <c r="F24" s="9">
        <v>0</v>
      </c>
      <c r="G24" s="9">
        <f>C65</f>
        <v>100</v>
      </c>
      <c r="H24" s="43">
        <v>0</v>
      </c>
      <c r="I24" s="9">
        <f>C66+C67</f>
        <v>100</v>
      </c>
      <c r="J24" s="9" t="s">
        <v>196</v>
      </c>
      <c r="P24" s="41"/>
    </row>
    <row r="25" spans="1:16" x14ac:dyDescent="0.25">
      <c r="A25" s="23" t="s">
        <v>104</v>
      </c>
      <c r="B25" s="20">
        <v>2231</v>
      </c>
      <c r="C25">
        <v>1</v>
      </c>
      <c r="E25" s="2" t="s">
        <v>81</v>
      </c>
      <c r="F25" s="9">
        <v>0</v>
      </c>
      <c r="G25" s="9">
        <f>C59+C60</f>
        <v>160</v>
      </c>
      <c r="H25" s="43">
        <v>0</v>
      </c>
      <c r="I25" s="9">
        <f>C61</f>
        <v>40</v>
      </c>
      <c r="J25" s="9" t="s">
        <v>191</v>
      </c>
      <c r="P25" s="41"/>
    </row>
    <row r="26" spans="1:16" x14ac:dyDescent="0.25">
      <c r="A26" s="23" t="s">
        <v>168</v>
      </c>
      <c r="B26" s="20">
        <v>2222</v>
      </c>
      <c r="C26">
        <v>1</v>
      </c>
      <c r="E26" s="2" t="s">
        <v>76</v>
      </c>
      <c r="F26" s="40">
        <v>0</v>
      </c>
      <c r="G26" s="9">
        <f>C10+C12+C13+C14+C17+C20+C24+C25+C29+C30+C31+C33+C19</f>
        <v>76</v>
      </c>
      <c r="H26" s="43">
        <f>C9+C27</f>
        <v>61</v>
      </c>
      <c r="I26" s="9">
        <f>C11+C16+C21+C23+C28+C32+C18</f>
        <v>48</v>
      </c>
      <c r="J26" s="9" t="s">
        <v>191</v>
      </c>
      <c r="P26" s="41"/>
    </row>
    <row r="27" spans="1:16" x14ac:dyDescent="0.25">
      <c r="A27" s="23" t="s">
        <v>156</v>
      </c>
      <c r="B27" s="20">
        <v>2206</v>
      </c>
      <c r="C27">
        <v>1</v>
      </c>
      <c r="E27" s="5" t="s">
        <v>77</v>
      </c>
      <c r="F27" s="9">
        <v>0</v>
      </c>
      <c r="G27" s="9">
        <f>C48+C56+C57+C55</f>
        <v>109</v>
      </c>
      <c r="H27" s="43">
        <v>0</v>
      </c>
      <c r="I27" s="9">
        <f>C49+C51+C52</f>
        <v>110</v>
      </c>
      <c r="J27" s="9" t="s">
        <v>197</v>
      </c>
    </row>
    <row r="28" spans="1:16" x14ac:dyDescent="0.25">
      <c r="A28" s="23" t="s">
        <v>129</v>
      </c>
      <c r="B28" s="20">
        <v>2200</v>
      </c>
      <c r="C28">
        <v>1</v>
      </c>
      <c r="E28" s="5" t="s">
        <v>78</v>
      </c>
      <c r="F28" s="9">
        <v>0</v>
      </c>
      <c r="G28" s="9">
        <f>C35+C39+C42+C43+C45</f>
        <v>128</v>
      </c>
      <c r="H28" s="43">
        <v>0</v>
      </c>
      <c r="I28" s="9">
        <f>C36+C37+C38+C41</f>
        <v>136</v>
      </c>
      <c r="J28" s="9" t="s">
        <v>192</v>
      </c>
    </row>
    <row r="29" spans="1:16" x14ac:dyDescent="0.25">
      <c r="A29" s="23" t="s">
        <v>102</v>
      </c>
      <c r="B29" s="20">
        <v>2188</v>
      </c>
      <c r="C29">
        <v>1</v>
      </c>
    </row>
    <row r="30" spans="1:16" x14ac:dyDescent="0.25">
      <c r="A30" s="23" t="s">
        <v>143</v>
      </c>
      <c r="B30" s="20">
        <v>2089</v>
      </c>
      <c r="C30">
        <v>1</v>
      </c>
    </row>
    <row r="31" spans="1:16" x14ac:dyDescent="0.25">
      <c r="A31" s="23" t="s">
        <v>111</v>
      </c>
      <c r="B31" s="20">
        <v>2046</v>
      </c>
      <c r="C31">
        <v>1</v>
      </c>
    </row>
    <row r="32" spans="1:16" x14ac:dyDescent="0.25">
      <c r="A32" s="23" t="s">
        <v>130</v>
      </c>
      <c r="B32" s="20">
        <v>1955</v>
      </c>
      <c r="C32">
        <v>1</v>
      </c>
    </row>
    <row r="33" spans="1:3" x14ac:dyDescent="0.25">
      <c r="A33" s="23" t="s">
        <v>164</v>
      </c>
      <c r="B33" s="20">
        <v>1913</v>
      </c>
      <c r="C33">
        <v>1</v>
      </c>
    </row>
    <row r="34" spans="1:3" x14ac:dyDescent="0.25">
      <c r="A34" s="19" t="s">
        <v>78</v>
      </c>
      <c r="B34" s="20">
        <v>9148</v>
      </c>
    </row>
    <row r="35" spans="1:3" x14ac:dyDescent="0.25">
      <c r="A35" s="38" t="s">
        <v>105</v>
      </c>
      <c r="B35" s="39">
        <v>1386</v>
      </c>
      <c r="C35">
        <v>100</v>
      </c>
    </row>
    <row r="36" spans="1:3" x14ac:dyDescent="0.25">
      <c r="A36" s="38" t="s">
        <v>134</v>
      </c>
      <c r="B36" s="39">
        <v>1380</v>
      </c>
      <c r="C36">
        <v>60</v>
      </c>
    </row>
    <row r="37" spans="1:3" x14ac:dyDescent="0.25">
      <c r="A37" s="38" t="s">
        <v>133</v>
      </c>
      <c r="B37" s="39">
        <v>1312</v>
      </c>
      <c r="C37">
        <v>40</v>
      </c>
    </row>
    <row r="38" spans="1:3" x14ac:dyDescent="0.25">
      <c r="A38" s="23" t="s">
        <v>138</v>
      </c>
      <c r="B38" s="20">
        <v>1152</v>
      </c>
      <c r="C38">
        <v>30</v>
      </c>
    </row>
    <row r="39" spans="1:3" x14ac:dyDescent="0.25">
      <c r="A39" s="23" t="s">
        <v>107</v>
      </c>
      <c r="B39" s="20">
        <v>1081</v>
      </c>
      <c r="C39">
        <v>20</v>
      </c>
    </row>
    <row r="40" spans="1:3" x14ac:dyDescent="0.25">
      <c r="A40" s="23" t="s">
        <v>167</v>
      </c>
      <c r="B40" s="20">
        <v>949</v>
      </c>
      <c r="C40">
        <v>10</v>
      </c>
    </row>
    <row r="41" spans="1:3" x14ac:dyDescent="0.25">
      <c r="A41" s="23" t="s">
        <v>136</v>
      </c>
      <c r="B41" s="20">
        <v>935</v>
      </c>
      <c r="C41">
        <v>6</v>
      </c>
    </row>
    <row r="42" spans="1:3" x14ac:dyDescent="0.25">
      <c r="A42" s="23" t="s">
        <v>120</v>
      </c>
      <c r="B42" s="20">
        <v>876</v>
      </c>
      <c r="C42">
        <v>4</v>
      </c>
    </row>
    <row r="43" spans="1:3" x14ac:dyDescent="0.25">
      <c r="A43" s="23" t="s">
        <v>140</v>
      </c>
      <c r="B43" s="20">
        <v>77</v>
      </c>
      <c r="C43">
        <v>3</v>
      </c>
    </row>
    <row r="44" spans="1:3" x14ac:dyDescent="0.25">
      <c r="A44" s="23" t="s">
        <v>112</v>
      </c>
      <c r="B44" s="20">
        <v>0</v>
      </c>
    </row>
    <row r="45" spans="1:3" x14ac:dyDescent="0.25">
      <c r="A45" s="23" t="s">
        <v>121</v>
      </c>
      <c r="B45" s="20">
        <v>0</v>
      </c>
      <c r="C45">
        <v>1</v>
      </c>
    </row>
    <row r="46" spans="1:3" x14ac:dyDescent="0.25">
      <c r="A46" s="23" t="s">
        <v>132</v>
      </c>
      <c r="B46" s="20">
        <v>0</v>
      </c>
    </row>
    <row r="47" spans="1:3" x14ac:dyDescent="0.25">
      <c r="A47" s="19" t="s">
        <v>77</v>
      </c>
      <c r="B47" s="20">
        <v>16750</v>
      </c>
    </row>
    <row r="48" spans="1:3" x14ac:dyDescent="0.25">
      <c r="A48" s="38" t="s">
        <v>116</v>
      </c>
      <c r="B48" s="39">
        <v>1807</v>
      </c>
      <c r="C48">
        <v>100</v>
      </c>
    </row>
    <row r="49" spans="1:3" x14ac:dyDescent="0.25">
      <c r="A49" s="38" t="s">
        <v>127</v>
      </c>
      <c r="B49" s="39">
        <v>1797</v>
      </c>
      <c r="C49">
        <v>60</v>
      </c>
    </row>
    <row r="50" spans="1:3" x14ac:dyDescent="0.25">
      <c r="A50" s="38" t="s">
        <v>163</v>
      </c>
      <c r="B50" s="39">
        <v>1777</v>
      </c>
      <c r="C50">
        <v>40</v>
      </c>
    </row>
    <row r="51" spans="1:3" x14ac:dyDescent="0.25">
      <c r="A51" s="23" t="s">
        <v>139</v>
      </c>
      <c r="B51" s="20">
        <v>1748</v>
      </c>
      <c r="C51">
        <v>30</v>
      </c>
    </row>
    <row r="52" spans="1:3" x14ac:dyDescent="0.25">
      <c r="A52" s="23" t="s">
        <v>131</v>
      </c>
      <c r="B52" s="20">
        <v>1706</v>
      </c>
      <c r="C52">
        <v>20</v>
      </c>
    </row>
    <row r="53" spans="1:3" x14ac:dyDescent="0.25">
      <c r="A53" s="23" t="s">
        <v>172</v>
      </c>
      <c r="B53" s="20">
        <v>1656</v>
      </c>
      <c r="C53">
        <v>10</v>
      </c>
    </row>
    <row r="54" spans="1:3" x14ac:dyDescent="0.25">
      <c r="A54" s="23" t="s">
        <v>165</v>
      </c>
      <c r="B54" s="20">
        <v>1641</v>
      </c>
      <c r="C54">
        <v>6</v>
      </c>
    </row>
    <row r="55" spans="1:3" x14ac:dyDescent="0.25">
      <c r="A55" s="23" t="s">
        <v>141</v>
      </c>
      <c r="B55" s="20">
        <v>1600</v>
      </c>
      <c r="C55">
        <v>4</v>
      </c>
    </row>
    <row r="56" spans="1:3" x14ac:dyDescent="0.25">
      <c r="A56" s="23" t="s">
        <v>115</v>
      </c>
      <c r="B56" s="20">
        <v>1547</v>
      </c>
      <c r="C56">
        <v>3</v>
      </c>
    </row>
    <row r="57" spans="1:3" x14ac:dyDescent="0.25">
      <c r="A57" s="23" t="s">
        <v>170</v>
      </c>
      <c r="B57" s="20">
        <v>1471</v>
      </c>
      <c r="C57">
        <v>2</v>
      </c>
    </row>
    <row r="58" spans="1:3" x14ac:dyDescent="0.25">
      <c r="A58" s="19" t="s">
        <v>81</v>
      </c>
      <c r="B58" s="20">
        <v>1272</v>
      </c>
    </row>
    <row r="59" spans="1:3" x14ac:dyDescent="0.25">
      <c r="A59" s="38" t="s">
        <v>166</v>
      </c>
      <c r="B59" s="39">
        <v>686</v>
      </c>
      <c r="C59">
        <v>100</v>
      </c>
    </row>
    <row r="60" spans="1:3" x14ac:dyDescent="0.25">
      <c r="A60" s="38" t="s">
        <v>173</v>
      </c>
      <c r="B60" s="39">
        <v>455</v>
      </c>
      <c r="C60">
        <v>60</v>
      </c>
    </row>
    <row r="61" spans="1:3" x14ac:dyDescent="0.25">
      <c r="A61" s="38" t="s">
        <v>174</v>
      </c>
      <c r="B61" s="39">
        <v>131</v>
      </c>
      <c r="C61">
        <v>40</v>
      </c>
    </row>
    <row r="62" spans="1:3" x14ac:dyDescent="0.25">
      <c r="A62" s="23" t="s">
        <v>118</v>
      </c>
      <c r="B62" s="20">
        <v>0</v>
      </c>
    </row>
    <row r="63" spans="1:3" x14ac:dyDescent="0.25">
      <c r="A63" s="23" t="s">
        <v>106</v>
      </c>
      <c r="B63" s="20">
        <v>0</v>
      </c>
    </row>
    <row r="64" spans="1:3" x14ac:dyDescent="0.25">
      <c r="A64" s="19" t="s">
        <v>80</v>
      </c>
      <c r="B64" s="20">
        <v>4184</v>
      </c>
    </row>
    <row r="65" spans="1:3" x14ac:dyDescent="0.25">
      <c r="A65" s="38" t="s">
        <v>142</v>
      </c>
      <c r="B65" s="39">
        <v>1739</v>
      </c>
      <c r="C65">
        <v>100</v>
      </c>
    </row>
    <row r="66" spans="1:3" x14ac:dyDescent="0.25">
      <c r="A66" s="38" t="s">
        <v>137</v>
      </c>
      <c r="B66" s="39">
        <v>1250</v>
      </c>
      <c r="C66">
        <v>60</v>
      </c>
    </row>
    <row r="67" spans="1:3" x14ac:dyDescent="0.25">
      <c r="A67" s="38" t="s">
        <v>125</v>
      </c>
      <c r="B67" s="39">
        <v>1195</v>
      </c>
      <c r="C67">
        <v>40</v>
      </c>
    </row>
    <row r="68" spans="1:3" x14ac:dyDescent="0.25">
      <c r="A68" s="19" t="s">
        <v>92</v>
      </c>
      <c r="B68" s="20">
        <v>0</v>
      </c>
    </row>
    <row r="69" spans="1:3" x14ac:dyDescent="0.25">
      <c r="A69" s="23" t="s">
        <v>96</v>
      </c>
      <c r="B69" s="20">
        <v>0</v>
      </c>
    </row>
    <row r="70" spans="1:3" x14ac:dyDescent="0.25">
      <c r="A70" s="19" t="s">
        <v>79</v>
      </c>
      <c r="B70" s="20">
        <v>12032</v>
      </c>
    </row>
    <row r="71" spans="1:3" x14ac:dyDescent="0.25">
      <c r="A71" s="38" t="s">
        <v>171</v>
      </c>
      <c r="B71" s="39">
        <v>2179</v>
      </c>
      <c r="C71">
        <v>60</v>
      </c>
    </row>
    <row r="72" spans="1:3" x14ac:dyDescent="0.25">
      <c r="A72" s="38" t="s">
        <v>108</v>
      </c>
      <c r="B72" s="39">
        <v>2100</v>
      </c>
      <c r="C72">
        <v>20</v>
      </c>
    </row>
    <row r="73" spans="1:3" x14ac:dyDescent="0.25">
      <c r="A73" s="38" t="s">
        <v>157</v>
      </c>
      <c r="B73" s="39">
        <v>2020</v>
      </c>
      <c r="C73">
        <v>100</v>
      </c>
    </row>
    <row r="74" spans="1:3" x14ac:dyDescent="0.25">
      <c r="A74" s="38" t="s">
        <v>161</v>
      </c>
      <c r="B74" s="39">
        <v>1978</v>
      </c>
      <c r="C74">
        <v>40</v>
      </c>
    </row>
    <row r="75" spans="1:3" x14ac:dyDescent="0.25">
      <c r="A75" s="38" t="s">
        <v>122</v>
      </c>
      <c r="B75" s="39">
        <v>1919</v>
      </c>
      <c r="C75">
        <v>30</v>
      </c>
    </row>
    <row r="76" spans="1:3" x14ac:dyDescent="0.25">
      <c r="A76" s="23" t="s">
        <v>126</v>
      </c>
      <c r="B76" s="20">
        <v>1836</v>
      </c>
      <c r="C76">
        <v>10</v>
      </c>
    </row>
    <row r="77" spans="1:3" x14ac:dyDescent="0.25">
      <c r="A77" s="19" t="s">
        <v>176</v>
      </c>
      <c r="B77" s="20">
        <v>112504</v>
      </c>
    </row>
  </sheetData>
  <sortState ref="A3:B75">
    <sortCondition descending="1" ref="B69"/>
  </sortState>
  <mergeCells count="3">
    <mergeCell ref="E7:F7"/>
    <mergeCell ref="E8:F8"/>
    <mergeCell ref="E14:F14"/>
  </mergeCells>
  <pageMargins left="0.75" right="0.75" top="1" bottom="1" header="0.5" footer="0.5"/>
  <pageSetup orientation="portrait"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74</vt:i4>
      </vt:variant>
    </vt:vector>
  </HeadingPairs>
  <TitlesOfParts>
    <vt:vector size="77" baseType="lpstr">
      <vt:lpstr>Climber Records</vt:lpstr>
      <vt:lpstr>Problem Values</vt:lpstr>
      <vt:lpstr>Comp Results</vt:lpstr>
      <vt:lpstr>DU</vt:lpstr>
      <vt:lpstr>FL</vt:lpstr>
      <vt:lpstr>M</vt:lpstr>
      <vt:lpstr>MA</vt:lpstr>
      <vt:lpstr>MAP</vt:lpstr>
      <vt:lpstr>MB</vt:lpstr>
      <vt:lpstr>MBP</vt:lpstr>
      <vt:lpstr>MI</vt:lpstr>
      <vt:lpstr>MIP</vt:lpstr>
      <vt:lpstr>PU</vt:lpstr>
      <vt:lpstr>TU</vt:lpstr>
      <vt:lpstr>UDEL</vt:lpstr>
      <vt:lpstr>UPENN</vt:lpstr>
      <vt:lpstr>VU</vt:lpstr>
      <vt:lpstr>W</vt:lpstr>
      <vt:lpstr>WA</vt:lpstr>
      <vt:lpstr>WAP</vt:lpstr>
      <vt:lpstr>WB</vt:lpstr>
      <vt:lpstr>WBP</vt:lpstr>
      <vt:lpstr>WCU</vt:lpstr>
      <vt:lpstr>WI</vt:lpstr>
      <vt:lpstr>WIP</vt:lpstr>
      <vt:lpstr>ZA</vt:lpstr>
      <vt:lpstr>ZAA</vt:lpstr>
      <vt:lpstr>ZB</vt:lpstr>
      <vt:lpstr>ZBB</vt:lpstr>
      <vt:lpstr>ZC</vt:lpstr>
      <vt:lpstr>ZCC</vt:lpstr>
      <vt:lpstr>ZD</vt:lpstr>
      <vt:lpstr>ZDD</vt:lpstr>
      <vt:lpstr>ZE</vt:lpstr>
      <vt:lpstr>ZEE</vt:lpstr>
      <vt:lpstr>ZF</vt:lpstr>
      <vt:lpstr>ZFF</vt:lpstr>
      <vt:lpstr>ZG</vt:lpstr>
      <vt:lpstr>ZGG</vt:lpstr>
      <vt:lpstr>ZH</vt:lpstr>
      <vt:lpstr>ZHH</vt:lpstr>
      <vt:lpstr>ZI</vt:lpstr>
      <vt:lpstr>ZII</vt:lpstr>
      <vt:lpstr>ZJ</vt:lpstr>
      <vt:lpstr>ZJJ</vt:lpstr>
      <vt:lpstr>ZK</vt:lpstr>
      <vt:lpstr>ZKK</vt:lpstr>
      <vt:lpstr>ZL</vt:lpstr>
      <vt:lpstr>ZLL</vt:lpstr>
      <vt:lpstr>ZM</vt:lpstr>
      <vt:lpstr>ZMM</vt:lpstr>
      <vt:lpstr>ZN</vt:lpstr>
      <vt:lpstr>ZNN</vt:lpstr>
      <vt:lpstr>ZO</vt:lpstr>
      <vt:lpstr>ZOO</vt:lpstr>
      <vt:lpstr>ZP</vt:lpstr>
      <vt:lpstr>ZPP</vt:lpstr>
      <vt:lpstr>ZQ</vt:lpstr>
      <vt:lpstr>ZQQ</vt:lpstr>
      <vt:lpstr>ZR</vt:lpstr>
      <vt:lpstr>ZRR</vt:lpstr>
      <vt:lpstr>ZS</vt:lpstr>
      <vt:lpstr>ZSS</vt:lpstr>
      <vt:lpstr>ZT</vt:lpstr>
      <vt:lpstr>ZTT</vt:lpstr>
      <vt:lpstr>ZU</vt:lpstr>
      <vt:lpstr>ZUU</vt:lpstr>
      <vt:lpstr>ZV</vt:lpstr>
      <vt:lpstr>ZVV</vt:lpstr>
      <vt:lpstr>ZW</vt:lpstr>
      <vt:lpstr>ZWW</vt:lpstr>
      <vt:lpstr>ZX</vt:lpstr>
      <vt:lpstr>ZXX</vt:lpstr>
      <vt:lpstr>ZY</vt:lpstr>
      <vt:lpstr>ZYY</vt:lpstr>
      <vt:lpstr>ZZ</vt:lpstr>
      <vt:lpstr>ZZZ</vt:lpstr>
    </vt:vector>
  </TitlesOfParts>
  <Company>Drexel 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Devilbiss</dc:creator>
  <cp:lastModifiedBy>Windows User</cp:lastModifiedBy>
  <dcterms:created xsi:type="dcterms:W3CDTF">2013-11-08T01:14:19Z</dcterms:created>
  <dcterms:modified xsi:type="dcterms:W3CDTF">2013-11-26T23:46:13Z</dcterms:modified>
</cp:coreProperties>
</file>