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5" yWindow="-15" windowWidth="10260" windowHeight="8265" activeTab="2"/>
  </bookViews>
  <sheets>
    <sheet name="Climber Records" sheetId="2" r:id="rId1"/>
    <sheet name="Problem Values" sheetId="1" r:id="rId2"/>
    <sheet name="Comp Results" sheetId="3" r:id="rId3"/>
  </sheets>
  <definedNames>
    <definedName name="_xlnm._FilterDatabase" localSheetId="0" hidden="1">'Climber Records'!$F$3:$F$100</definedName>
    <definedName name="DU">'Problem Values'!$Q$3</definedName>
    <definedName name="F">'Problem Values'!$M$2</definedName>
    <definedName name="M">'Problem Values'!$M$13</definedName>
    <definedName name="MA">'Problem Values'!$L$5</definedName>
    <definedName name="MAP">'Problem Values'!$M$5</definedName>
    <definedName name="MB">'Problem Values'!$L$7</definedName>
    <definedName name="MBP">'Problem Values'!$M$7</definedName>
    <definedName name="MI">'Problem Values'!$L$6</definedName>
    <definedName name="MIP">'Problem Values'!$M$6</definedName>
    <definedName name="PU">'Problem Values'!$Q$7</definedName>
    <definedName name="TU">'Problem Values'!$Q$6</definedName>
    <definedName name="UDEL">'Problem Values'!$Q$5</definedName>
    <definedName name="UPENN">'Problem Values'!$Q$11</definedName>
    <definedName name="VU">'Problem Values'!$Q$9</definedName>
    <definedName name="W">'Problem Values'!$M$14</definedName>
    <definedName name="WA">'Problem Values'!$L$8</definedName>
    <definedName name="WAP">'Problem Values'!$M$8</definedName>
    <definedName name="WB">'Problem Values'!$L$10</definedName>
    <definedName name="WBP">'Problem Values'!$M$10</definedName>
    <definedName name="WCU">'Problem Values'!$Q$8</definedName>
    <definedName name="WI">'Problem Values'!$L$9</definedName>
    <definedName name="WIP">'Problem Values'!$M$9</definedName>
    <definedName name="ZA">'Problem Values'!$C$3</definedName>
    <definedName name="ZAA">'Problem Values'!$F$3</definedName>
    <definedName name="ZAAA">'Problem Values'!$I$3</definedName>
    <definedName name="ZB">'Problem Values'!$C$4</definedName>
    <definedName name="ZBB">'Problem Values'!$F$4</definedName>
    <definedName name="ZBBB">'Problem Values'!$I$4</definedName>
    <definedName name="ZC">'Problem Values'!$C$5</definedName>
    <definedName name="ZCC">'Problem Values'!$F$5</definedName>
    <definedName name="ZCCC">'Problem Values'!$I$5</definedName>
    <definedName name="ZD">'Problem Values'!$C$6</definedName>
    <definedName name="ZDD">'Problem Values'!$F$6</definedName>
    <definedName name="ZDDD">'Problem Values'!$I$6</definedName>
    <definedName name="ZE">'Problem Values'!$C$7</definedName>
    <definedName name="ZEE">'Problem Values'!$F$7</definedName>
    <definedName name="ZEEE">'Problem Values'!$I$7</definedName>
    <definedName name="ZF">'Problem Values'!$C$8</definedName>
    <definedName name="ZFF">'Problem Values'!$F$8</definedName>
    <definedName name="ZFFF">'Problem Values'!$I$8</definedName>
    <definedName name="ZG">'Problem Values'!$C$9</definedName>
    <definedName name="ZGG">'Problem Values'!$F$9</definedName>
    <definedName name="ZGGG">'Problem Values'!$I$9</definedName>
    <definedName name="ZH">'Problem Values'!$C$10</definedName>
    <definedName name="ZHH">'Problem Values'!$F$10</definedName>
    <definedName name="ZHHH">'Problem Values'!$I$10</definedName>
    <definedName name="ZI">'Problem Values'!$C$11</definedName>
    <definedName name="ZII">'Problem Values'!$F$11</definedName>
    <definedName name="ZIII">'Problem Values'!$I$11</definedName>
    <definedName name="ZJ">'Problem Values'!$C$12</definedName>
    <definedName name="ZJJ">'Problem Values'!$F$12</definedName>
    <definedName name="ZJJJ">'Problem Values'!$I$12</definedName>
    <definedName name="ZK">'Problem Values'!$C$13</definedName>
    <definedName name="ZKK">'Problem Values'!$F$13</definedName>
    <definedName name="ZKKK">'Problem Values'!$I$13</definedName>
    <definedName name="ZL">'Problem Values'!$C$14</definedName>
    <definedName name="ZLL">'Problem Values'!$F$14</definedName>
    <definedName name="ZLLL">'Problem Values'!$I$14</definedName>
    <definedName name="ZM">'Problem Values'!$C$15</definedName>
    <definedName name="ZMM">'Problem Values'!$F$15</definedName>
    <definedName name="ZMMM">'Problem Values'!$I$15</definedName>
    <definedName name="ZN">'Problem Values'!$C$16</definedName>
    <definedName name="ZNN">'Problem Values'!$F$16</definedName>
    <definedName name="ZO">'Problem Values'!$C$17</definedName>
    <definedName name="ZOO">'Problem Values'!$F$17</definedName>
    <definedName name="ZP">'Problem Values'!$C$18</definedName>
    <definedName name="ZPP">'Problem Values'!$F$18</definedName>
    <definedName name="ZQ">'Problem Values'!$C$19</definedName>
    <definedName name="ZQQ">'Problem Values'!$F$19</definedName>
    <definedName name="ZR">'Problem Values'!$C$20</definedName>
    <definedName name="ZRR">'Problem Values'!$F$20</definedName>
    <definedName name="ZS">'Problem Values'!$C$21</definedName>
    <definedName name="ZSS">'Problem Values'!$F$21</definedName>
    <definedName name="ZT">'Problem Values'!$C$22</definedName>
    <definedName name="ZTT">'Problem Values'!$F$22</definedName>
    <definedName name="ZU">'Problem Values'!$C$23</definedName>
    <definedName name="ZUU">'Problem Values'!$F$23</definedName>
    <definedName name="ZV">'Problem Values'!$C$24</definedName>
    <definedName name="ZVV">'Problem Values'!$F$24</definedName>
    <definedName name="ZW">'Problem Values'!$C$25</definedName>
    <definedName name="ZWW">'Problem Values'!$F$25</definedName>
    <definedName name="ZX">'Problem Values'!$C$26</definedName>
    <definedName name="ZXX">'Problem Values'!$F$26</definedName>
    <definedName name="ZY">'Problem Values'!$C$27</definedName>
    <definedName name="ZYY">'Problem Values'!$F$27</definedName>
    <definedName name="ZZ">'Problem Values'!$C$28</definedName>
    <definedName name="ZZZ">'Problem Values'!$F$28</definedName>
  </definedNames>
  <calcPr calcId="125725"/>
  <pivotCaches>
    <pivotCache cacheId="8" r:id="rId4"/>
  </pivotCaches>
</workbook>
</file>

<file path=xl/calcChain.xml><?xml version="1.0" encoding="utf-8"?>
<calcChain xmlns="http://schemas.openxmlformats.org/spreadsheetml/2006/main">
  <c r="M12" i="3"/>
  <c r="M10"/>
  <c r="M11"/>
  <c r="L12"/>
  <c r="L11"/>
  <c r="L10"/>
  <c r="K12"/>
  <c r="K11"/>
  <c r="K10"/>
  <c r="J11"/>
  <c r="J12"/>
  <c r="J10"/>
  <c r="I12"/>
  <c r="I11"/>
  <c r="I10"/>
  <c r="V54" i="2"/>
  <c r="U54"/>
  <c r="T54"/>
  <c r="S54"/>
  <c r="R54"/>
  <c r="O16"/>
  <c r="M38"/>
  <c r="L38"/>
  <c r="K38"/>
  <c r="J38"/>
  <c r="N50"/>
  <c r="M50"/>
  <c r="O32"/>
  <c r="N32"/>
  <c r="M32"/>
  <c r="N43"/>
  <c r="M43"/>
  <c r="L43"/>
  <c r="K43"/>
  <c r="J43"/>
  <c r="R23"/>
  <c r="P40"/>
  <c r="Q55"/>
  <c r="P55"/>
  <c r="O55"/>
  <c r="P35"/>
  <c r="O35"/>
  <c r="N35"/>
  <c r="L50"/>
  <c r="K50"/>
  <c r="J50"/>
  <c r="N36"/>
  <c r="M36"/>
  <c r="L36"/>
  <c r="K36"/>
  <c r="J36"/>
  <c r="O64"/>
  <c r="N64"/>
  <c r="S34"/>
  <c r="R34"/>
  <c r="Q34"/>
  <c r="P34"/>
  <c r="O34"/>
  <c r="N34"/>
  <c r="M34"/>
  <c r="L34"/>
  <c r="K34"/>
  <c r="J34"/>
  <c r="N29"/>
  <c r="N16"/>
  <c r="V6"/>
  <c r="U6"/>
  <c r="O5"/>
  <c r="Q23"/>
  <c r="P23"/>
  <c r="O14"/>
  <c r="P51"/>
  <c r="O12"/>
  <c r="N12"/>
  <c r="O69"/>
  <c r="N33"/>
  <c r="M33"/>
  <c r="L33"/>
  <c r="K33"/>
  <c r="J33"/>
  <c r="N52"/>
  <c r="M52"/>
  <c r="L52"/>
  <c r="K52"/>
  <c r="J52"/>
  <c r="O49"/>
  <c r="N49"/>
  <c r="M49"/>
  <c r="L49"/>
  <c r="K49"/>
  <c r="J49"/>
  <c r="O39"/>
  <c r="P8"/>
  <c r="N27"/>
  <c r="Q21"/>
  <c r="P21"/>
  <c r="O21"/>
  <c r="N21"/>
  <c r="M21"/>
  <c r="L21"/>
  <c r="K21"/>
  <c r="J21"/>
  <c r="L32"/>
  <c r="O11"/>
  <c r="N11"/>
  <c r="M11"/>
  <c r="L11"/>
  <c r="K11"/>
  <c r="J11"/>
  <c r="Q25"/>
  <c r="P25"/>
  <c r="O25"/>
  <c r="N25"/>
  <c r="M25"/>
  <c r="L25"/>
  <c r="K25"/>
  <c r="J25"/>
  <c r="N15"/>
  <c r="M15"/>
  <c r="L15"/>
  <c r="K15"/>
  <c r="J15"/>
  <c r="M66"/>
  <c r="N69"/>
  <c r="M69"/>
  <c r="N45"/>
  <c r="M45"/>
  <c r="N41"/>
  <c r="M41"/>
  <c r="L41"/>
  <c r="K41"/>
  <c r="J41"/>
  <c r="O19"/>
  <c r="N19"/>
  <c r="M19"/>
  <c r="N42"/>
  <c r="M42"/>
  <c r="O58"/>
  <c r="N14"/>
  <c r="M14"/>
  <c r="L14"/>
  <c r="K14"/>
  <c r="J14"/>
  <c r="L39"/>
  <c r="N39"/>
  <c r="M39"/>
  <c r="K39"/>
  <c r="J39"/>
  <c r="L10"/>
  <c r="K10"/>
  <c r="J10"/>
  <c r="N4"/>
  <c r="M4"/>
  <c r="L4"/>
  <c r="K4"/>
  <c r="J4"/>
  <c r="N60"/>
  <c r="M60"/>
  <c r="L60"/>
  <c r="K60"/>
  <c r="J60"/>
  <c r="O23"/>
  <c r="N23"/>
  <c r="M23"/>
  <c r="L23"/>
  <c r="K23"/>
  <c r="J23"/>
  <c r="N17"/>
  <c r="M17"/>
  <c r="L17"/>
  <c r="K17"/>
  <c r="J17"/>
  <c r="O62"/>
  <c r="Q20"/>
  <c r="N5"/>
  <c r="M5"/>
  <c r="L5"/>
  <c r="K5"/>
  <c r="J5"/>
  <c r="U63"/>
  <c r="O40"/>
  <c r="P9"/>
  <c r="O9"/>
  <c r="T6"/>
  <c r="S6"/>
  <c r="L69"/>
  <c r="K69"/>
  <c r="J69"/>
  <c r="M29"/>
  <c r="O26"/>
  <c r="N26"/>
  <c r="M26"/>
  <c r="L26"/>
  <c r="N68"/>
  <c r="M68"/>
  <c r="L68"/>
  <c r="K68"/>
  <c r="J68"/>
  <c r="N40"/>
  <c r="K65"/>
  <c r="J65"/>
  <c r="L29"/>
  <c r="O8"/>
  <c r="P20"/>
  <c r="N62"/>
  <c r="M62"/>
  <c r="L62"/>
  <c r="K62"/>
  <c r="J62"/>
  <c r="M16"/>
  <c r="N37"/>
  <c r="M37"/>
  <c r="L37"/>
  <c r="K37"/>
  <c r="J37"/>
  <c r="N55"/>
  <c r="M55"/>
  <c r="L55"/>
  <c r="K55"/>
  <c r="J55"/>
  <c r="O61"/>
  <c r="N44"/>
  <c r="M44"/>
  <c r="L44"/>
  <c r="K44"/>
  <c r="J44"/>
  <c r="O20"/>
  <c r="O7"/>
  <c r="N7"/>
  <c r="M40"/>
  <c r="T63"/>
  <c r="K29"/>
  <c r="J29"/>
  <c r="O47"/>
  <c r="N53"/>
  <c r="M53"/>
  <c r="L53"/>
  <c r="K53"/>
  <c r="J53"/>
  <c r="N20"/>
  <c r="M20"/>
  <c r="L20"/>
  <c r="K20"/>
  <c r="J20"/>
  <c r="N8"/>
  <c r="M8"/>
  <c r="R6"/>
  <c r="L66"/>
  <c r="N61"/>
  <c r="O51"/>
  <c r="M56"/>
  <c r="L56"/>
  <c r="K56"/>
  <c r="J56"/>
  <c r="M64"/>
  <c r="L64"/>
  <c r="K64"/>
  <c r="J64"/>
  <c r="K48"/>
  <c r="I48" s="1"/>
  <c r="J48"/>
  <c r="N47"/>
  <c r="M47"/>
  <c r="L47"/>
  <c r="K47"/>
  <c r="J47"/>
  <c r="M22"/>
  <c r="L22"/>
  <c r="K22"/>
  <c r="J22"/>
  <c r="L8"/>
  <c r="Q54"/>
  <c r="P54"/>
  <c r="O54"/>
  <c r="N54"/>
  <c r="M54"/>
  <c r="L54"/>
  <c r="K54"/>
  <c r="J54"/>
  <c r="S63"/>
  <c r="R63"/>
  <c r="Q63"/>
  <c r="P63"/>
  <c r="O63"/>
  <c r="N63"/>
  <c r="M63"/>
  <c r="L63"/>
  <c r="K63"/>
  <c r="J63"/>
  <c r="M12"/>
  <c r="L12"/>
  <c r="K26"/>
  <c r="J26"/>
  <c r="M7"/>
  <c r="L7"/>
  <c r="K7"/>
  <c r="J7"/>
  <c r="M28"/>
  <c r="N28"/>
  <c r="L28"/>
  <c r="K28"/>
  <c r="J28"/>
  <c r="N51"/>
  <c r="M51"/>
  <c r="L45"/>
  <c r="K45"/>
  <c r="J45"/>
  <c r="L19"/>
  <c r="K19"/>
  <c r="J19"/>
  <c r="J30"/>
  <c r="I30" s="1"/>
  <c r="G30" s="1"/>
  <c r="M27"/>
  <c r="L27"/>
  <c r="Q6"/>
  <c r="P57"/>
  <c r="O57"/>
  <c r="N57"/>
  <c r="M57"/>
  <c r="L57"/>
  <c r="K57"/>
  <c r="J57"/>
  <c r="P6"/>
  <c r="O6"/>
  <c r="N6"/>
  <c r="M6"/>
  <c r="L6"/>
  <c r="K6"/>
  <c r="J6"/>
  <c r="N9"/>
  <c r="M9"/>
  <c r="L59"/>
  <c r="L42"/>
  <c r="K42"/>
  <c r="J42"/>
  <c r="M61"/>
  <c r="M35"/>
  <c r="L35"/>
  <c r="K35"/>
  <c r="J35"/>
  <c r="K12"/>
  <c r="J12"/>
  <c r="K27"/>
  <c r="L16"/>
  <c r="K16"/>
  <c r="J16"/>
  <c r="N58"/>
  <c r="M58"/>
  <c r="L58"/>
  <c r="K58"/>
  <c r="J58"/>
  <c r="K32"/>
  <c r="J32"/>
  <c r="K66"/>
  <c r="J66"/>
  <c r="K8"/>
  <c r="J8"/>
  <c r="K59"/>
  <c r="J59"/>
  <c r="I59" s="1"/>
  <c r="G59" s="1"/>
  <c r="L61"/>
  <c r="K61"/>
  <c r="J61"/>
  <c r="L51"/>
  <c r="K51"/>
  <c r="J51"/>
  <c r="J27"/>
  <c r="L40"/>
  <c r="K40"/>
  <c r="J40"/>
  <c r="L9"/>
  <c r="K9"/>
  <c r="J9"/>
  <c r="M7" i="1"/>
  <c r="G24" i="2" s="1"/>
  <c r="M6" i="1"/>
  <c r="M10"/>
  <c r="I24" i="2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I46"/>
  <c r="I18"/>
  <c r="I31"/>
  <c r="G31" s="1"/>
  <c r="I13"/>
  <c r="I67"/>
  <c r="G67" s="1"/>
  <c r="G13"/>
  <c r="G46" l="1"/>
  <c r="G18"/>
  <c r="G48"/>
  <c r="I66"/>
  <c r="G66" s="1"/>
  <c r="I53"/>
  <c r="G53" s="1"/>
  <c r="I38"/>
  <c r="G38" s="1"/>
  <c r="I32"/>
  <c r="G32" s="1"/>
  <c r="I43"/>
  <c r="G43" s="1"/>
  <c r="I35"/>
  <c r="G35" s="1"/>
  <c r="I50"/>
  <c r="G50" s="1"/>
  <c r="I36"/>
  <c r="G36" s="1"/>
  <c r="I64"/>
  <c r="G64" s="1"/>
  <c r="I34"/>
  <c r="G34" s="1"/>
  <c r="I33"/>
  <c r="G33" s="1"/>
  <c r="I52"/>
  <c r="G52" s="1"/>
  <c r="I49"/>
  <c r="G49" s="1"/>
  <c r="I21"/>
  <c r="G21" s="1"/>
  <c r="I11"/>
  <c r="G11" s="1"/>
  <c r="I25"/>
  <c r="G25" s="1"/>
  <c r="I15"/>
  <c r="G15" s="1"/>
  <c r="I41"/>
  <c r="I19"/>
  <c r="G19" s="1"/>
  <c r="I14"/>
  <c r="G14" s="1"/>
  <c r="I39"/>
  <c r="G39" s="1"/>
  <c r="I10"/>
  <c r="G10" s="1"/>
  <c r="I4"/>
  <c r="G4" s="1"/>
  <c r="I60"/>
  <c r="G60" s="1"/>
  <c r="I23"/>
  <c r="G23" s="1"/>
  <c r="I17"/>
  <c r="G17" s="1"/>
  <c r="I69"/>
  <c r="G69" s="1"/>
  <c r="I29"/>
  <c r="G29" s="1"/>
  <c r="I26"/>
  <c r="G26" s="1"/>
  <c r="I68"/>
  <c r="G68" s="1"/>
  <c r="I65"/>
  <c r="G65" s="1"/>
  <c r="I62"/>
  <c r="G62" s="1"/>
  <c r="I37"/>
  <c r="G37" s="1"/>
  <c r="I55"/>
  <c r="G55" s="1"/>
  <c r="I44"/>
  <c r="G44" s="1"/>
  <c r="I20"/>
  <c r="G20" s="1"/>
  <c r="I61"/>
  <c r="G61" s="1"/>
  <c r="I56"/>
  <c r="G56" s="1"/>
  <c r="I47"/>
  <c r="G47" s="1"/>
  <c r="I22"/>
  <c r="G22" s="1"/>
  <c r="I54"/>
  <c r="G54" s="1"/>
  <c r="I63"/>
  <c r="G63" s="1"/>
  <c r="I7"/>
  <c r="G7" s="1"/>
  <c r="I28"/>
  <c r="G28" s="1"/>
  <c r="I45"/>
  <c r="G45" s="1"/>
  <c r="I57"/>
  <c r="G57" s="1"/>
  <c r="I6"/>
  <c r="G6" s="1"/>
  <c r="I42"/>
  <c r="G42" s="1"/>
  <c r="I12"/>
  <c r="G12" s="1"/>
  <c r="I27"/>
  <c r="G27" s="1"/>
  <c r="I16"/>
  <c r="G16" s="1"/>
  <c r="I58"/>
  <c r="G58" s="1"/>
  <c r="I8"/>
  <c r="G8" s="1"/>
  <c r="I51"/>
  <c r="G51" s="1"/>
  <c r="I40"/>
  <c r="G40" s="1"/>
  <c r="I9"/>
  <c r="G9" s="1"/>
  <c r="I5"/>
  <c r="G5" s="1"/>
  <c r="N2" i="1"/>
  <c r="H62" i="2" l="1"/>
  <c r="H57"/>
  <c r="H21"/>
  <c r="H29"/>
  <c r="H4"/>
  <c r="H61"/>
  <c r="H9"/>
  <c r="H66"/>
  <c r="H5"/>
  <c r="H63"/>
  <c r="H7"/>
  <c r="H98"/>
  <c r="H80"/>
  <c r="H92"/>
  <c r="H74"/>
  <c r="H88"/>
  <c r="H86"/>
  <c r="H6"/>
  <c r="H64"/>
  <c r="H31"/>
  <c r="H42"/>
  <c r="H49"/>
  <c r="H41"/>
  <c r="H68"/>
  <c r="H38"/>
  <c r="H24"/>
  <c r="H16"/>
  <c r="H82"/>
  <c r="H52"/>
  <c r="H46"/>
  <c r="H23"/>
  <c r="H32"/>
  <c r="H33"/>
  <c r="H54"/>
  <c r="H65"/>
  <c r="H100"/>
  <c r="H95"/>
  <c r="H76"/>
  <c r="H56"/>
  <c r="H8"/>
  <c r="H93"/>
  <c r="H55"/>
  <c r="H96"/>
  <c r="H59"/>
  <c r="H14"/>
  <c r="H15"/>
  <c r="H22"/>
  <c r="H72"/>
  <c r="H84"/>
  <c r="H20"/>
  <c r="H39"/>
  <c r="H83"/>
  <c r="H79"/>
  <c r="H27"/>
  <c r="H43"/>
  <c r="H37"/>
  <c r="H97"/>
  <c r="H89"/>
  <c r="H77"/>
  <c r="H12"/>
  <c r="H17"/>
  <c r="H78"/>
  <c r="H25"/>
  <c r="H36"/>
  <c r="H75"/>
  <c r="H90"/>
  <c r="H67"/>
  <c r="H11"/>
  <c r="H53"/>
  <c r="H18"/>
  <c r="H70"/>
  <c r="H40"/>
  <c r="H50"/>
  <c r="H10"/>
  <c r="H28"/>
  <c r="H35"/>
  <c r="H51"/>
  <c r="H85"/>
  <c r="H60"/>
  <c r="H19"/>
  <c r="H26"/>
  <c r="H58"/>
  <c r="H45"/>
  <c r="H91"/>
  <c r="H87"/>
  <c r="H48"/>
  <c r="H13"/>
  <c r="H47"/>
  <c r="H34"/>
  <c r="H44"/>
  <c r="H30"/>
  <c r="H81"/>
  <c r="H99"/>
  <c r="H94"/>
  <c r="H73"/>
  <c r="H71"/>
  <c r="H69"/>
</calcChain>
</file>

<file path=xl/comments1.xml><?xml version="1.0" encoding="utf-8"?>
<comments xmlns="http://schemas.openxmlformats.org/spreadsheetml/2006/main">
  <authors>
    <author>Tyler Devilbiss</author>
  </authors>
  <commentList>
    <comment ref="E3" authorId="0">
      <text>
        <r>
          <rPr>
            <b/>
            <sz val="9"/>
            <color indexed="81"/>
            <rFont val="Tahoma"/>
            <family val="2"/>
          </rPr>
          <t>Tyler Devilbiss: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4"/>
            <color indexed="81"/>
            <rFont val="Tahoma"/>
            <family val="2"/>
          </rPr>
          <t>Insert  a capital M or W for gender.</t>
        </r>
      </text>
    </comment>
    <comment ref="J3" authorId="0">
      <text>
        <r>
          <rPr>
            <b/>
            <sz val="14"/>
            <color indexed="81"/>
            <rFont val="Tahoma"/>
            <family val="2"/>
          </rPr>
          <t>Tyler Devilbiss:</t>
        </r>
        <r>
          <rPr>
            <sz val="14"/>
            <color indexed="81"/>
            <rFont val="Tahoma"/>
            <family val="2"/>
          </rPr>
          <t xml:space="preserve">
to enter score use =Z"climb code" (A, DD…) To add flash bonus use *F
EX: =ZA*F for flashed climb A</t>
        </r>
      </text>
    </comment>
  </commentList>
</comments>
</file>

<file path=xl/comments2.xml><?xml version="1.0" encoding="utf-8"?>
<comments xmlns="http://schemas.openxmlformats.org/spreadsheetml/2006/main">
  <authors>
    <author>Tyler Devilbiss</author>
  </authors>
  <commentList>
    <comment ref="M5" authorId="0">
      <text>
        <r>
          <rPr>
            <b/>
            <sz val="9"/>
            <color indexed="81"/>
            <rFont val="Tahoma"/>
            <family val="2"/>
          </rPr>
          <t>Tyler Devilbiss:</t>
        </r>
        <r>
          <rPr>
            <sz val="9"/>
            <color indexed="81"/>
            <rFont val="Tahoma"/>
            <family val="2"/>
          </rPr>
          <t xml:space="preserve">
These values are the top 5 climbs' points added together that are contained within the particular division.</t>
        </r>
      </text>
    </comment>
  </commentList>
</comments>
</file>

<file path=xl/sharedStrings.xml><?xml version="1.0" encoding="utf-8"?>
<sst xmlns="http://schemas.openxmlformats.org/spreadsheetml/2006/main" count="626" uniqueCount="211">
  <si>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</si>
  <si>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</si>
  <si>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</si>
  <si>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</si>
  <si>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</si>
  <si>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</si>
  <si>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</si>
  <si>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</si>
  <si>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</si>
  <si>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</si>
  <si>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</si>
  <si>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</si>
  <si>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</si>
  <si>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</si>
  <si>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</si>
  <si>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</si>
  <si>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</si>
  <si>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</si>
  <si>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</si>
  <si>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</si>
  <si>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</si>
  <si>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</si>
  <si>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</si>
  <si>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</si>
  <si>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</si>
  <si>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</si>
  <si>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</si>
  <si>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BB</t>
  </si>
  <si>
    <t>CC</t>
  </si>
  <si>
    <t>DD</t>
  </si>
  <si>
    <t>EE</t>
  </si>
  <si>
    <t>FF</t>
  </si>
  <si>
    <t>GG</t>
  </si>
  <si>
    <t>HH</t>
  </si>
  <si>
    <t>II</t>
  </si>
  <si>
    <t>JJ</t>
  </si>
  <si>
    <t>KK</t>
  </si>
  <si>
    <t>LL</t>
  </si>
  <si>
    <t>MM</t>
  </si>
  <si>
    <t>NN</t>
  </si>
  <si>
    <t>OO</t>
  </si>
  <si>
    <t>PP</t>
  </si>
  <si>
    <t>QQ</t>
  </si>
  <si>
    <t>RR</t>
  </si>
  <si>
    <t>SS</t>
  </si>
  <si>
    <t>TT</t>
  </si>
  <si>
    <t>UU</t>
  </si>
  <si>
    <t>VV</t>
  </si>
  <si>
    <t>WW</t>
  </si>
  <si>
    <t>XX</t>
  </si>
  <si>
    <t>YY</t>
  </si>
  <si>
    <t>ZZ</t>
  </si>
  <si>
    <t>School</t>
  </si>
  <si>
    <t>Climber Name</t>
  </si>
  <si>
    <t>Score Total</t>
  </si>
  <si>
    <t>PCCS Official Score Sheet</t>
  </si>
  <si>
    <t>Climb Label</t>
  </si>
  <si>
    <t>Point Value</t>
  </si>
  <si>
    <t>Grade</t>
  </si>
  <si>
    <t>Flash value, F</t>
  </si>
  <si>
    <t>Schools</t>
  </si>
  <si>
    <t>Code</t>
  </si>
  <si>
    <t>Division</t>
  </si>
  <si>
    <t>Divisions</t>
  </si>
  <si>
    <t>MA</t>
  </si>
  <si>
    <t>MI</t>
  </si>
  <si>
    <t>MB</t>
  </si>
  <si>
    <t>WA</t>
  </si>
  <si>
    <t>WI</t>
  </si>
  <si>
    <t>WB</t>
  </si>
  <si>
    <t>Max Points</t>
  </si>
  <si>
    <t>Gender Codes</t>
  </si>
  <si>
    <t>Male</t>
  </si>
  <si>
    <t>Female</t>
  </si>
  <si>
    <t>Enter Climbs From Here Over ---&gt;</t>
  </si>
  <si>
    <t>Overall Ranking</t>
  </si>
  <si>
    <t>Gender, M/W</t>
  </si>
  <si>
    <t>Row Labels</t>
  </si>
  <si>
    <t>Paid</t>
  </si>
  <si>
    <t>Sum of Score Total</t>
  </si>
  <si>
    <t>(All)</t>
  </si>
  <si>
    <t>V0-V2</t>
  </si>
  <si>
    <t>V3-V4</t>
  </si>
  <si>
    <t>V5+</t>
  </si>
  <si>
    <t>Division-1</t>
  </si>
  <si>
    <t>V0-V1</t>
  </si>
  <si>
    <t>V2-V3</t>
  </si>
  <si>
    <t>V4+</t>
  </si>
  <si>
    <t>AAA</t>
  </si>
  <si>
    <t>BBB</t>
  </si>
  <si>
    <t>CCC</t>
  </si>
  <si>
    <t>DDD</t>
  </si>
  <si>
    <t>EEE</t>
  </si>
  <si>
    <t>FFF</t>
  </si>
  <si>
    <t>GGG</t>
  </si>
  <si>
    <t>HHH</t>
  </si>
  <si>
    <t>III</t>
  </si>
  <si>
    <t>JJJ</t>
  </si>
  <si>
    <t>KKK</t>
  </si>
  <si>
    <t>LLL</t>
  </si>
  <si>
    <t>MMM</t>
  </si>
  <si>
    <t>NNN</t>
  </si>
  <si>
    <t>OOO</t>
  </si>
  <si>
    <t>PPP</t>
  </si>
  <si>
    <t>QQQ</t>
  </si>
  <si>
    <t>RRR</t>
  </si>
  <si>
    <t>SSS</t>
  </si>
  <si>
    <t>TTT</t>
  </si>
  <si>
    <t>UUU</t>
  </si>
  <si>
    <t>VVV</t>
  </si>
  <si>
    <t>WWW</t>
  </si>
  <si>
    <t>XXX</t>
  </si>
  <si>
    <t>YYY</t>
  </si>
  <si>
    <t>ZZZ</t>
  </si>
  <si>
    <t>ALEX GLADSTONE</t>
  </si>
  <si>
    <t>HARTFORD</t>
  </si>
  <si>
    <t>ANDREW ZEDOSKY</t>
  </si>
  <si>
    <t>WEST CHESTER</t>
  </si>
  <si>
    <t>JOSH GROU</t>
  </si>
  <si>
    <t>LENAPE</t>
  </si>
  <si>
    <t>BRENDON RILEY</t>
  </si>
  <si>
    <t>GIANNI DESANTO</t>
  </si>
  <si>
    <t>IVAN BARCINAL</t>
  </si>
  <si>
    <t>BCC</t>
  </si>
  <si>
    <t>JOSH VICHARE</t>
  </si>
  <si>
    <t>CODY SHEPERD</t>
  </si>
  <si>
    <t>PATRICK KREIGER</t>
  </si>
  <si>
    <t>RUTGERS</t>
  </si>
  <si>
    <t>TIFFANY KINGSLEY</t>
  </si>
  <si>
    <t>CRAIG COOPER</t>
  </si>
  <si>
    <t>JUSTIN LAMARCHE</t>
  </si>
  <si>
    <t>BRIDGETTE IVKOVICH</t>
  </si>
  <si>
    <t>TEMPLE</t>
  </si>
  <si>
    <t>MACKENZIE ABERNATHY</t>
  </si>
  <si>
    <t>THOMAS HORNE</t>
  </si>
  <si>
    <t>MIKE WODSLEY</t>
  </si>
  <si>
    <t>RYAN SAGER</t>
  </si>
  <si>
    <t>ZOE STEINBERG</t>
  </si>
  <si>
    <t>JEREMY TAITANO</t>
  </si>
  <si>
    <t>TERESA DABBACK</t>
  </si>
  <si>
    <t>ANTONIO ALMEDA-LOPEZ</t>
  </si>
  <si>
    <t>GRACE ICENOGLE</t>
  </si>
  <si>
    <t>ASHLEY XU</t>
  </si>
  <si>
    <t>TIM MISNIK</t>
  </si>
  <si>
    <t>AUSTIN LOWE</t>
  </si>
  <si>
    <t>VINCE ROMETT</t>
  </si>
  <si>
    <t>MORGAN ASH</t>
  </si>
  <si>
    <t>MORGAN LAPIDUS</t>
  </si>
  <si>
    <t>MIRANDA KELLY</t>
  </si>
  <si>
    <t>KATRINA HAUCK</t>
  </si>
  <si>
    <t>TYLER DEVILBISS</t>
  </si>
  <si>
    <t>DREXEL</t>
  </si>
  <si>
    <t>REBECCA SMITH</t>
  </si>
  <si>
    <t>BURHAN QADDOUMI</t>
  </si>
  <si>
    <t>NATE APONTE</t>
  </si>
  <si>
    <t>WILLIAM PATTERSON</t>
  </si>
  <si>
    <t>MICHAEL WALTHER</t>
  </si>
  <si>
    <t>KAREN YEE</t>
  </si>
  <si>
    <t>MIKAELA WEGERHOFF</t>
  </si>
  <si>
    <t>AUSTIN ALEXANDER</t>
  </si>
  <si>
    <t>PEDRAM NIKNAM</t>
  </si>
  <si>
    <t>DREW FROHN</t>
  </si>
  <si>
    <t>STEPHANIE MANASSE</t>
  </si>
  <si>
    <t>ADRIENNE JUARASCIO</t>
  </si>
  <si>
    <t>MATT BUI</t>
  </si>
  <si>
    <t>SAMMIE WERNER</t>
  </si>
  <si>
    <t>JENNA CRISWELL</t>
  </si>
  <si>
    <t>ALISON MINEROVIC</t>
  </si>
  <si>
    <t>ANDREW MURPHY</t>
  </si>
  <si>
    <t>JACK WILKE</t>
  </si>
  <si>
    <t>RYAN RUE</t>
  </si>
  <si>
    <t>GABE LORENZ</t>
  </si>
  <si>
    <t>OLIVIA ARICO</t>
  </si>
  <si>
    <t>SARAH LEVINE</t>
  </si>
  <si>
    <t>NICHOLAS WILHELM</t>
  </si>
  <si>
    <t>ALEX NADOLISHNY</t>
  </si>
  <si>
    <t>KRISTAPS KANCANS</t>
  </si>
  <si>
    <t>MIKE CUNNINGHAM</t>
  </si>
  <si>
    <t>DAVE WESTCOAT</t>
  </si>
  <si>
    <t>KATHERINE ROGAN</t>
  </si>
  <si>
    <t>WIDENER</t>
  </si>
  <si>
    <t>MICHAEL SANGILLO</t>
  </si>
  <si>
    <t>TREVOR IRWIN</t>
  </si>
  <si>
    <t>DARIAN HICKS</t>
  </si>
  <si>
    <t>IAN RILEY</t>
  </si>
  <si>
    <t>ZACH FREED</t>
  </si>
  <si>
    <t>DELAWARE VALLEY</t>
  </si>
  <si>
    <t>DAN PAREDES</t>
  </si>
  <si>
    <t>CAROLINE BARDO</t>
  </si>
  <si>
    <t>MICHAEL KONG</t>
  </si>
  <si>
    <t>CHEROKEE!</t>
  </si>
  <si>
    <t>TERESA DABACK</t>
  </si>
  <si>
    <t>BRIDGETTE IVKOVIEN</t>
  </si>
  <si>
    <t>Patrick Freiger</t>
  </si>
  <si>
    <t>Jack Wile</t>
  </si>
  <si>
    <t>Alex Gladstone</t>
  </si>
  <si>
    <t>Mike Cunningham</t>
  </si>
  <si>
    <t>Justin Lamarche</t>
  </si>
  <si>
    <t>Zoe Steinberg</t>
  </si>
  <si>
    <t>Caroline Bardo</t>
  </si>
  <si>
    <t>WI-1</t>
  </si>
  <si>
    <t>RU</t>
  </si>
  <si>
    <t>DU</t>
  </si>
  <si>
    <t>TU</t>
  </si>
  <si>
    <t>WCU</t>
  </si>
  <si>
    <t>CHEROKEE</t>
  </si>
  <si>
    <t>William Patterson</t>
  </si>
  <si>
    <t>DEL VALLEY</t>
  </si>
  <si>
    <t>ADVANCED</t>
  </si>
  <si>
    <t>INTERMEDIATE</t>
  </si>
  <si>
    <t>BEGINNER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</si>
</sst>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36"/>
      <color theme="0"/>
      <name val="Berlin Sans FB Demi"/>
      <family val="2"/>
    </font>
    <font>
      <sz val="16"/>
      <color rgb="FF000000"/>
      <name val="Calibri"/>
      <family val="2"/>
      <scheme val="minor"/>
    </font>
    <font>
      <b/>
      <sz val="14"/>
      <color indexed="81"/>
      <name val="Tahoma"/>
      <family val="2"/>
    </font>
    <font>
      <sz val="14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Protection="1"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left"/>
    </xf>
    <xf numFmtId="0" fontId="0" fillId="0" borderId="0" xfId="0" applyBorder="1" applyProtection="1"/>
    <xf numFmtId="0" fontId="0" fillId="0" borderId="0" xfId="0" applyProtection="1"/>
    <xf numFmtId="0" fontId="0" fillId="0" borderId="0" xfId="0" pivotButton="1"/>
    <xf numFmtId="0" fontId="1" fillId="0" borderId="1" xfId="0" applyFont="1" applyBorder="1" applyProtection="1"/>
    <xf numFmtId="0" fontId="6" fillId="0" borderId="1" xfId="0" applyFont="1" applyBorder="1" applyProtection="1"/>
    <xf numFmtId="0" fontId="6" fillId="0" borderId="1" xfId="0" applyFont="1" applyBorder="1" applyAlignment="1" applyProtection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0" xfId="0" applyFont="1" applyBorder="1"/>
    <xf numFmtId="0" fontId="1" fillId="0" borderId="0" xfId="0" applyFont="1"/>
    <xf numFmtId="0" fontId="7" fillId="0" borderId="0" xfId="0" applyFont="1" applyBorder="1"/>
    <xf numFmtId="0" fontId="7" fillId="0" borderId="0" xfId="0" applyFont="1" applyBorder="1" applyAlignment="1"/>
    <xf numFmtId="0" fontId="1" fillId="0" borderId="0" xfId="0" applyFont="1" applyBorder="1" applyAlignment="1"/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1" fillId="0" borderId="2" xfId="0" applyFont="1" applyBorder="1" applyProtection="1"/>
    <xf numFmtId="0" fontId="1" fillId="0" borderId="5" xfId="0" applyFont="1" applyFill="1" applyBorder="1" applyProtection="1">
      <protection locked="0"/>
    </xf>
    <xf numFmtId="0" fontId="1" fillId="0" borderId="6" xfId="0" applyFont="1" applyFill="1" applyBorder="1" applyProtection="1">
      <protection locked="0"/>
    </xf>
    <xf numFmtId="0" fontId="1" fillId="0" borderId="7" xfId="0" applyFont="1" applyFill="1" applyBorder="1" applyProtection="1">
      <protection locked="0"/>
    </xf>
    <xf numFmtId="0" fontId="1" fillId="0" borderId="8" xfId="0" applyFont="1" applyFill="1" applyBorder="1" applyProtection="1">
      <protection locked="0"/>
    </xf>
    <xf numFmtId="0" fontId="1" fillId="0" borderId="9" xfId="0" applyFont="1" applyBorder="1" applyProtection="1"/>
    <xf numFmtId="0" fontId="1" fillId="0" borderId="10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3" fillId="0" borderId="1" xfId="0" applyFont="1" applyBorder="1" applyAlignment="1" applyProtection="1">
      <alignment horizontal="center"/>
    </xf>
    <xf numFmtId="0" fontId="0" fillId="0" borderId="1" xfId="0" applyBorder="1" applyProtection="1"/>
    <xf numFmtId="0" fontId="0" fillId="0" borderId="1" xfId="0" applyBorder="1" applyAlignment="1" applyProtection="1">
      <alignment horizontal="center"/>
    </xf>
    <xf numFmtId="9" fontId="0" fillId="0" borderId="0" xfId="0" applyNumberFormat="1" applyAlignment="1" applyProtection="1">
      <alignment horizontal="center"/>
    </xf>
    <xf numFmtId="0" fontId="3" fillId="0" borderId="1" xfId="0" applyFont="1" applyBorder="1" applyProtection="1"/>
    <xf numFmtId="0" fontId="0" fillId="0" borderId="1" xfId="0" applyBorder="1" applyAlignment="1" applyProtection="1">
      <alignment horizontal="center" vertical="center"/>
    </xf>
    <xf numFmtId="0" fontId="3" fillId="0" borderId="0" xfId="0" applyFont="1" applyBorder="1" applyAlignment="1" applyProtection="1"/>
    <xf numFmtId="0" fontId="0" fillId="0" borderId="0" xfId="0" applyBorder="1" applyAlignment="1" applyProtection="1">
      <alignment horizontal="center"/>
    </xf>
    <xf numFmtId="0" fontId="2" fillId="0" borderId="2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/>
    </xf>
    <xf numFmtId="0" fontId="6" fillId="0" borderId="6" xfId="0" applyFont="1" applyBorder="1" applyAlignment="1" applyProtection="1">
      <alignment horizontal="center" vertical="center"/>
    </xf>
    <xf numFmtId="0" fontId="1" fillId="0" borderId="2" xfId="0" applyFont="1" applyBorder="1" applyProtection="1">
      <protection locked="0"/>
    </xf>
    <xf numFmtId="0" fontId="2" fillId="0" borderId="10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>
      <alignment horizontal="left" readingOrder="1"/>
    </xf>
    <xf numFmtId="0" fontId="9" fillId="0" borderId="1" xfId="0" applyFont="1" applyBorder="1" applyAlignment="1">
      <alignment horizontal="left" wrapText="1" readingOrder="1"/>
    </xf>
    <xf numFmtId="0" fontId="9" fillId="0" borderId="13" xfId="0" applyFont="1" applyBorder="1" applyAlignment="1">
      <alignment horizontal="left" wrapText="1" readingOrder="1"/>
    </xf>
    <xf numFmtId="0" fontId="3" fillId="0" borderId="1" xfId="0" applyFont="1" applyBorder="1" applyAlignment="1" applyProtection="1">
      <alignment horizontal="center"/>
    </xf>
    <xf numFmtId="0" fontId="9" fillId="0" borderId="11" xfId="0" applyFont="1" applyBorder="1" applyAlignment="1">
      <alignment horizontal="left" wrapText="1" readingOrder="1"/>
    </xf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Alignment="1">
      <alignment horizontal="left" indent="1"/>
    </xf>
    <xf numFmtId="0" fontId="9" fillId="0" borderId="11" xfId="0" applyFont="1" applyBorder="1" applyAlignment="1">
      <alignment horizontal="left" readingOrder="1"/>
    </xf>
    <xf numFmtId="0" fontId="6" fillId="0" borderId="1" xfId="0" applyFont="1" applyBorder="1" applyAlignment="1" applyProtection="1">
      <alignment horizontal="left" vertical="center"/>
    </xf>
    <xf numFmtId="0" fontId="8" fillId="2" borderId="3" xfId="0" applyFont="1" applyFill="1" applyBorder="1" applyAlignment="1" applyProtection="1">
      <alignment horizontal="center" vertical="center"/>
    </xf>
    <xf numFmtId="0" fontId="8" fillId="2" borderId="4" xfId="0" applyFont="1" applyFill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309562</xdr:colOff>
      <xdr:row>1</xdr:row>
      <xdr:rowOff>178593</xdr:rowOff>
    </xdr:from>
    <xdr:to>
      <xdr:col>7</xdr:col>
      <xdr:colOff>559594</xdr:colOff>
      <xdr:row>6</xdr:row>
      <xdr:rowOff>83344</xdr:rowOff>
    </xdr:to>
    <xdr:sp macro="" textlink="">
      <xdr:nvSpPr>
        <xdr:cNvPr id="2" name="TextBox 1"/>
        <xdr:cNvSpPr txBox="1"/>
      </xdr:nvSpPr>
      <xdr:spPr>
        <a:xfrm>
          <a:off x="3810000" y="440531"/>
          <a:ext cx="2952750" cy="121443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/>
            <a:t>click</a:t>
          </a:r>
          <a:r>
            <a:rPr lang="en-US" sz="1100" baseline="0"/>
            <a:t> on the table to the left</a:t>
          </a:r>
        </a:p>
        <a:p>
          <a:endParaRPr lang="en-US" sz="1100" baseline="0"/>
        </a:p>
        <a:p>
          <a:r>
            <a:rPr lang="en-US" sz="1100" baseline="0"/>
            <a:t>select the options tab that appears at the top of the document</a:t>
          </a:r>
        </a:p>
        <a:p>
          <a:endParaRPr lang="en-US" sz="1100" baseline="0"/>
        </a:p>
        <a:p>
          <a:r>
            <a:rPr lang="en-US" sz="1100" baseline="0"/>
            <a:t>select refresh to access most recent results</a:t>
          </a:r>
          <a:endParaRPr lang="en-US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Tyler Devilbiss" refreshedDate="41911.686886574076" createdVersion="3" refreshedVersion="3" minRefreshableVersion="3" recordCount="97">
  <cacheSource type="worksheet">
    <worksheetSource ref="B3:I100" sheet="Climber Records"/>
  </cacheSource>
  <cacheFields count="8">
    <cacheField name="Paid" numFmtId="0">
      <sharedItems containsBlank="1" count="5">
        <s v="Y"/>
        <m/>
        <s v="NO" u="1"/>
        <s v="N" u="1"/>
        <s v="YES" u="1"/>
      </sharedItems>
    </cacheField>
    <cacheField name="School" numFmtId="0">
      <sharedItems containsBlank="1" count="20">
        <s v="DREXEL"/>
        <s v="HARTFORD"/>
        <s v="WEST CHESTER"/>
        <s v="TEMPLE"/>
        <s v="CCC"/>
        <s v="WILLIAM PATTERSON"/>
        <s v="BCC"/>
        <s v="CHEROKEE!"/>
        <s v="LENAPE"/>
        <s v="RUTGERS"/>
        <s v="WIDENER"/>
        <s v="DELAWARE VALLEY"/>
        <m/>
        <s v="DU" u="1"/>
        <s v="WCU" u="1"/>
        <s v="PU" u="1"/>
        <s v="NJIT" u="1"/>
        <s v="TU" u="1"/>
        <s v="UPENN" u="1"/>
        <s v="UDEL" u="1"/>
      </sharedItems>
    </cacheField>
    <cacheField name="Division-1" numFmtId="0">
      <sharedItems containsBlank="1" count="8">
        <s v="WI"/>
        <s v="MA"/>
        <s v="MB"/>
        <s v="WB"/>
        <s v="MI"/>
        <m/>
        <s v="WA"/>
        <s v="AI" u="1"/>
      </sharedItems>
    </cacheField>
    <cacheField name="Gender, M/W" numFmtId="0">
      <sharedItems containsBlank="1" count="3">
        <s v="W"/>
        <s v="M"/>
        <m/>
      </sharedItems>
    </cacheField>
    <cacheField name="Climber Name" numFmtId="0">
      <sharedItems containsBlank="1" count="103">
        <s v="ADRIENNE JUARASCIO"/>
        <s v="ALEX GLADSTONE"/>
        <s v="ALEX NADOLISHNY"/>
        <s v="ALISON MINEROVIC"/>
        <s v="ANDREW MURPHY"/>
        <s v="ANDREW ZEDOSKY"/>
        <s v="ANTONIO ALMEDA-LOPEZ"/>
        <s v="ASHLEY XU"/>
        <s v="AUSTIN ALEXANDER"/>
        <s v="AUSTIN LOWE"/>
        <s v="BRENDON RILEY"/>
        <s v="BRIDGETTE IVKOVICH"/>
        <s v="BURHAN QADDOUMI"/>
        <s v="CAROLINE BARDO"/>
        <s v="CODY SHEPERD"/>
        <s v="CRAIG COOPER"/>
        <s v="DAN PAREDES"/>
        <s v="DARIAN HICKS"/>
        <s v="DAVE WESTCOAT"/>
        <s v="DREW FROHN"/>
        <s v="GABE LORENZ"/>
        <s v="GIANNI DESANTO"/>
        <s v="GRACE ICENOGLE"/>
        <s v="IAN RILEY"/>
        <s v="IVAN BARCINAL"/>
        <s v="JACK WILKE"/>
        <s v="JENNA CRISWELL"/>
        <s v="JEREMY TAITANO"/>
        <s v="JOSH GROU"/>
        <s v="JOSH VICHARE"/>
        <s v="JUSTIN LAMARCHE"/>
        <s v="KAREN YEE"/>
        <s v="KATHERINE ROGAN"/>
        <s v="KATRINA HAUCK"/>
        <s v="KRISTAPS KANCANS"/>
        <s v="MACKENZIE ABERNATHY"/>
        <s v="MATT BUI"/>
        <s v="MICHAEL KONG"/>
        <s v="MICHAEL SANGILLO"/>
        <s v="MICHAEL WALTHER"/>
        <s v="MIKAELA WEGERHOFF"/>
        <s v="MIKE CUNNINGHAM"/>
        <s v="MIKE WODSLEY"/>
        <s v="MIRANDA KELLY"/>
        <s v="MORGAN ASH"/>
        <s v="MORGAN LAPIDUS"/>
        <s v="NATE APONTE"/>
        <s v="NICHOLAS WILHELM"/>
        <s v="OLIVIA ARICO"/>
        <s v="PATRICK KREIGER"/>
        <s v="PEDRAM NIKNAM"/>
        <s v="REBECCA SMITH"/>
        <s v="RYAN RUE"/>
        <s v="RYAN SAGER"/>
        <s v="SAMMIE WERNER"/>
        <s v="SARAH LEVINE"/>
        <s v="STEPHANIE MANASSE"/>
        <s v="TERESA DABBACK"/>
        <s v="THOMAS HORNE"/>
        <s v="TIFFANY KINGSLEY"/>
        <s v="TIM MISNIK"/>
        <s v="TREVOR IRWIN"/>
        <s v="TYLER DEVILBISS"/>
        <s v="VINCE ROMETT"/>
        <s v="ZOE STEINBERG"/>
        <s v="ZACH FREED"/>
        <m/>
        <s v="Michael Wadsley" u="1"/>
        <s v="Zach Fox" u="1"/>
        <s v="TAMARA ROGAN" u="1"/>
        <s v="TOE" u="1"/>
        <s v="RED" u="1"/>
        <s v="Michael Cunningham" u="1"/>
        <s v="TOM" u="1"/>
        <s v="Ethan Quanci" u="1"/>
        <s v="Tyler Dolgos" u="1"/>
        <s v="HANK" u="1"/>
        <s v="Sammie Warner" u="1"/>
        <s v="Neil Castelino" u="1"/>
        <s v="David Thorne" u="1"/>
        <s v="Alec Manougian" u="1"/>
        <s v="DAN PARCEDES" u="1"/>
        <s v="MICHAEL KING" u="1"/>
        <s v="WILL" u="1"/>
        <s v="DAN" u="1"/>
        <s v="Tyler Maruca" u="1"/>
        <s v="FRANK" u="1"/>
        <s v="Jeremy Vital" u="1"/>
        <s v="Kate Norris" u="1"/>
        <s v="DAN PARCELES" u="1"/>
        <s v="CAROLINE BARCHO" u="1"/>
        <s v="WAY" u="1"/>
        <s v="Ben Gotthold" u="1"/>
        <s v="Jack Higgins" u="1"/>
        <s v="JANE" u="1"/>
        <s v="JOE" u="1"/>
        <s v="MIKE" u="1"/>
        <s v="BILL" u="1"/>
        <s v="HI" u="1"/>
        <s v="Carly Goldrich" u="1"/>
        <s v="John Howe" u="1"/>
        <s v="Bo Messier" u="1"/>
        <s v="Brian Borja" u="1"/>
      </sharedItems>
    </cacheField>
    <cacheField name="Division" numFmtId="0">
      <sharedItems containsBlank="1" count="8">
        <s v="WI"/>
        <s v="MA"/>
        <s v="MI"/>
        <s v="MB"/>
        <s v="WB"/>
        <s v="WA"/>
        <b v="0"/>
        <m u="1"/>
      </sharedItems>
    </cacheField>
    <cacheField name="Overall Ranking" numFmtId="0">
      <sharedItems containsSemiMixedTypes="0" containsString="0" containsNumber="1" containsInteger="1" minValue="1" maxValue="61"/>
    </cacheField>
    <cacheField name="Score Total" numFmtId="0">
      <sharedItems containsSemiMixedTypes="0" containsString="0" containsNumber="1" containsInteger="1" minValue="0" maxValue="4466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7">
  <r>
    <x v="0"/>
    <x v="0"/>
    <x v="0"/>
    <x v="0"/>
    <x v="0"/>
    <x v="0"/>
    <n v="32"/>
    <n v="1811"/>
  </r>
  <r>
    <x v="0"/>
    <x v="1"/>
    <x v="1"/>
    <x v="1"/>
    <x v="1"/>
    <x v="1"/>
    <n v="3"/>
    <n v="3771"/>
  </r>
  <r>
    <x v="0"/>
    <x v="0"/>
    <x v="2"/>
    <x v="1"/>
    <x v="2"/>
    <x v="2"/>
    <n v="21"/>
    <n v="2075"/>
  </r>
  <r>
    <x v="0"/>
    <x v="0"/>
    <x v="3"/>
    <x v="0"/>
    <x v="3"/>
    <x v="0"/>
    <n v="52"/>
    <n v="1020"/>
  </r>
  <r>
    <x v="0"/>
    <x v="0"/>
    <x v="4"/>
    <x v="1"/>
    <x v="4"/>
    <x v="2"/>
    <n v="19"/>
    <n v="2109"/>
  </r>
  <r>
    <x v="0"/>
    <x v="2"/>
    <x v="4"/>
    <x v="1"/>
    <x v="5"/>
    <x v="1"/>
    <n v="12"/>
    <n v="2454"/>
  </r>
  <r>
    <x v="0"/>
    <x v="3"/>
    <x v="1"/>
    <x v="1"/>
    <x v="6"/>
    <x v="2"/>
    <n v="42"/>
    <n v="1463"/>
  </r>
  <r>
    <x v="0"/>
    <x v="3"/>
    <x v="0"/>
    <x v="0"/>
    <x v="7"/>
    <x v="0"/>
    <n v="36"/>
    <n v="1683"/>
  </r>
  <r>
    <x v="0"/>
    <x v="0"/>
    <x v="4"/>
    <x v="1"/>
    <x v="8"/>
    <x v="2"/>
    <n v="20"/>
    <n v="2082"/>
  </r>
  <r>
    <x v="0"/>
    <x v="3"/>
    <x v="5"/>
    <x v="1"/>
    <x v="9"/>
    <x v="3"/>
    <n v="61"/>
    <n v="0"/>
  </r>
  <r>
    <x v="0"/>
    <x v="2"/>
    <x v="2"/>
    <x v="1"/>
    <x v="10"/>
    <x v="3"/>
    <n v="46"/>
    <n v="1269"/>
  </r>
  <r>
    <x v="0"/>
    <x v="3"/>
    <x v="3"/>
    <x v="0"/>
    <x v="11"/>
    <x v="4"/>
    <n v="58"/>
    <n v="312"/>
  </r>
  <r>
    <x v="0"/>
    <x v="2"/>
    <x v="1"/>
    <x v="1"/>
    <x v="12"/>
    <x v="1"/>
    <n v="11"/>
    <n v="2516"/>
  </r>
  <r>
    <x v="0"/>
    <x v="3"/>
    <x v="6"/>
    <x v="0"/>
    <x v="13"/>
    <x v="5"/>
    <n v="17"/>
    <n v="2188"/>
  </r>
  <r>
    <x v="0"/>
    <x v="4"/>
    <x v="4"/>
    <x v="1"/>
    <x v="14"/>
    <x v="3"/>
    <n v="61"/>
    <n v="0"/>
  </r>
  <r>
    <x v="0"/>
    <x v="5"/>
    <x v="2"/>
    <x v="1"/>
    <x v="15"/>
    <x v="2"/>
    <n v="28"/>
    <n v="1871"/>
  </r>
  <r>
    <x v="0"/>
    <x v="3"/>
    <x v="2"/>
    <x v="1"/>
    <x v="16"/>
    <x v="3"/>
    <n v="49"/>
    <n v="1157"/>
  </r>
  <r>
    <x v="0"/>
    <x v="6"/>
    <x v="2"/>
    <x v="1"/>
    <x v="17"/>
    <x v="3"/>
    <n v="55"/>
    <n v="768"/>
  </r>
  <r>
    <x v="0"/>
    <x v="6"/>
    <x v="1"/>
    <x v="1"/>
    <x v="18"/>
    <x v="2"/>
    <n v="27"/>
    <n v="1915"/>
  </r>
  <r>
    <x v="0"/>
    <x v="0"/>
    <x v="1"/>
    <x v="1"/>
    <x v="19"/>
    <x v="1"/>
    <n v="10"/>
    <n v="2632"/>
  </r>
  <r>
    <x v="0"/>
    <x v="3"/>
    <x v="4"/>
    <x v="1"/>
    <x v="20"/>
    <x v="3"/>
    <n v="61"/>
    <n v="0"/>
  </r>
  <r>
    <x v="0"/>
    <x v="7"/>
    <x v="4"/>
    <x v="1"/>
    <x v="21"/>
    <x v="1"/>
    <n v="13"/>
    <n v="2453"/>
  </r>
  <r>
    <x v="0"/>
    <x v="3"/>
    <x v="6"/>
    <x v="0"/>
    <x v="22"/>
    <x v="5"/>
    <n v="23"/>
    <n v="1987"/>
  </r>
  <r>
    <x v="0"/>
    <x v="0"/>
    <x v="4"/>
    <x v="1"/>
    <x v="23"/>
    <x v="2"/>
    <n v="25"/>
    <n v="1948"/>
  </r>
  <r>
    <x v="0"/>
    <x v="6"/>
    <x v="4"/>
    <x v="1"/>
    <x v="24"/>
    <x v="1"/>
    <n v="14"/>
    <n v="2447"/>
  </r>
  <r>
    <x v="0"/>
    <x v="0"/>
    <x v="1"/>
    <x v="1"/>
    <x v="25"/>
    <x v="1"/>
    <n v="6"/>
    <n v="3399"/>
  </r>
  <r>
    <x v="0"/>
    <x v="0"/>
    <x v="6"/>
    <x v="0"/>
    <x v="26"/>
    <x v="4"/>
    <n v="59"/>
    <n v="275"/>
  </r>
  <r>
    <x v="0"/>
    <x v="3"/>
    <x v="1"/>
    <x v="1"/>
    <x v="27"/>
    <x v="3"/>
    <n v="61"/>
    <n v="0"/>
  </r>
  <r>
    <x v="0"/>
    <x v="8"/>
    <x v="1"/>
    <x v="1"/>
    <x v="28"/>
    <x v="1"/>
    <n v="8"/>
    <n v="3151"/>
  </r>
  <r>
    <x v="0"/>
    <x v="9"/>
    <x v="4"/>
    <x v="1"/>
    <x v="29"/>
    <x v="2"/>
    <n v="30"/>
    <n v="1860"/>
  </r>
  <r>
    <x v="0"/>
    <x v="9"/>
    <x v="1"/>
    <x v="1"/>
    <x v="30"/>
    <x v="1"/>
    <n v="5"/>
    <n v="3593"/>
  </r>
  <r>
    <x v="0"/>
    <x v="0"/>
    <x v="6"/>
    <x v="0"/>
    <x v="31"/>
    <x v="0"/>
    <n v="32"/>
    <n v="1811"/>
  </r>
  <r>
    <x v="0"/>
    <x v="10"/>
    <x v="0"/>
    <x v="0"/>
    <x v="32"/>
    <x v="0"/>
    <n v="40"/>
    <n v="1506"/>
  </r>
  <r>
    <x v="0"/>
    <x v="3"/>
    <x v="0"/>
    <x v="0"/>
    <x v="33"/>
    <x v="0"/>
    <n v="34"/>
    <n v="1768"/>
  </r>
  <r>
    <x v="0"/>
    <x v="0"/>
    <x v="1"/>
    <x v="1"/>
    <x v="34"/>
    <x v="2"/>
    <n v="45"/>
    <n v="1405"/>
  </r>
  <r>
    <x v="0"/>
    <x v="3"/>
    <x v="3"/>
    <x v="0"/>
    <x v="35"/>
    <x v="4"/>
    <n v="57"/>
    <n v="418"/>
  </r>
  <r>
    <x v="0"/>
    <x v="0"/>
    <x v="1"/>
    <x v="1"/>
    <x v="36"/>
    <x v="2"/>
    <n v="24"/>
    <n v="1982"/>
  </r>
  <r>
    <x v="0"/>
    <x v="9"/>
    <x v="4"/>
    <x v="1"/>
    <x v="37"/>
    <x v="3"/>
    <n v="26"/>
    <n v="1947"/>
  </r>
  <r>
    <x v="0"/>
    <x v="0"/>
    <x v="2"/>
    <x v="1"/>
    <x v="38"/>
    <x v="2"/>
    <n v="44"/>
    <n v="1441"/>
  </r>
  <r>
    <x v="0"/>
    <x v="3"/>
    <x v="1"/>
    <x v="1"/>
    <x v="39"/>
    <x v="1"/>
    <n v="7"/>
    <n v="3194"/>
  </r>
  <r>
    <x v="0"/>
    <x v="0"/>
    <x v="0"/>
    <x v="0"/>
    <x v="40"/>
    <x v="0"/>
    <n v="39"/>
    <n v="1518"/>
  </r>
  <r>
    <x v="0"/>
    <x v="0"/>
    <x v="1"/>
    <x v="1"/>
    <x v="41"/>
    <x v="1"/>
    <n v="4"/>
    <n v="3770"/>
  </r>
  <r>
    <x v="0"/>
    <x v="3"/>
    <x v="1"/>
    <x v="1"/>
    <x v="42"/>
    <x v="3"/>
    <n v="61"/>
    <n v="0"/>
  </r>
  <r>
    <x v="0"/>
    <x v="3"/>
    <x v="3"/>
    <x v="0"/>
    <x v="43"/>
    <x v="0"/>
    <n v="51"/>
    <n v="1023"/>
  </r>
  <r>
    <x v="0"/>
    <x v="3"/>
    <x v="4"/>
    <x v="1"/>
    <x v="44"/>
    <x v="3"/>
    <n v="56"/>
    <n v="627"/>
  </r>
  <r>
    <x v="0"/>
    <x v="3"/>
    <x v="0"/>
    <x v="0"/>
    <x v="45"/>
    <x v="0"/>
    <n v="41"/>
    <n v="1487"/>
  </r>
  <r>
    <x v="0"/>
    <x v="2"/>
    <x v="1"/>
    <x v="1"/>
    <x v="46"/>
    <x v="2"/>
    <n v="37"/>
    <n v="1615"/>
  </r>
  <r>
    <x v="0"/>
    <x v="3"/>
    <x v="4"/>
    <x v="1"/>
    <x v="47"/>
    <x v="1"/>
    <n v="15"/>
    <n v="2435"/>
  </r>
  <r>
    <x v="0"/>
    <x v="3"/>
    <x v="3"/>
    <x v="0"/>
    <x v="48"/>
    <x v="0"/>
    <n v="53"/>
    <n v="979"/>
  </r>
  <r>
    <x v="0"/>
    <x v="9"/>
    <x v="1"/>
    <x v="1"/>
    <x v="49"/>
    <x v="1"/>
    <n v="1"/>
    <n v="4466"/>
  </r>
  <r>
    <x v="0"/>
    <x v="0"/>
    <x v="1"/>
    <x v="1"/>
    <x v="50"/>
    <x v="1"/>
    <n v="9"/>
    <n v="3084"/>
  </r>
  <r>
    <x v="0"/>
    <x v="4"/>
    <x v="6"/>
    <x v="0"/>
    <x v="51"/>
    <x v="0"/>
    <n v="31"/>
    <n v="1812"/>
  </r>
  <r>
    <x v="0"/>
    <x v="0"/>
    <x v="4"/>
    <x v="1"/>
    <x v="52"/>
    <x v="3"/>
    <n v="48"/>
    <n v="1200"/>
  </r>
  <r>
    <x v="0"/>
    <x v="3"/>
    <x v="4"/>
    <x v="1"/>
    <x v="53"/>
    <x v="2"/>
    <n v="18"/>
    <n v="2166"/>
  </r>
  <r>
    <x v="0"/>
    <x v="0"/>
    <x v="0"/>
    <x v="0"/>
    <x v="54"/>
    <x v="0"/>
    <n v="50"/>
    <n v="1119"/>
  </r>
  <r>
    <x v="0"/>
    <x v="3"/>
    <x v="3"/>
    <x v="0"/>
    <x v="55"/>
    <x v="4"/>
    <n v="60"/>
    <n v="137"/>
  </r>
  <r>
    <x v="0"/>
    <x v="0"/>
    <x v="0"/>
    <x v="0"/>
    <x v="56"/>
    <x v="0"/>
    <n v="43"/>
    <n v="1442"/>
  </r>
  <r>
    <x v="0"/>
    <x v="3"/>
    <x v="0"/>
    <x v="0"/>
    <x v="57"/>
    <x v="0"/>
    <n v="29"/>
    <n v="1866"/>
  </r>
  <r>
    <x v="0"/>
    <x v="3"/>
    <x v="2"/>
    <x v="1"/>
    <x v="58"/>
    <x v="3"/>
    <n v="47"/>
    <n v="1212"/>
  </r>
  <r>
    <x v="0"/>
    <x v="9"/>
    <x v="3"/>
    <x v="0"/>
    <x v="59"/>
    <x v="0"/>
    <n v="54"/>
    <n v="876"/>
  </r>
  <r>
    <x v="0"/>
    <x v="3"/>
    <x v="4"/>
    <x v="1"/>
    <x v="60"/>
    <x v="2"/>
    <n v="22"/>
    <n v="1993"/>
  </r>
  <r>
    <x v="0"/>
    <x v="0"/>
    <x v="1"/>
    <x v="1"/>
    <x v="61"/>
    <x v="2"/>
    <n v="38"/>
    <n v="1524"/>
  </r>
  <r>
    <x v="0"/>
    <x v="0"/>
    <x v="1"/>
    <x v="1"/>
    <x v="62"/>
    <x v="1"/>
    <n v="16"/>
    <n v="2227"/>
  </r>
  <r>
    <x v="0"/>
    <x v="3"/>
    <x v="1"/>
    <x v="1"/>
    <x v="63"/>
    <x v="3"/>
    <n v="61"/>
    <n v="0"/>
  </r>
  <r>
    <x v="0"/>
    <x v="3"/>
    <x v="6"/>
    <x v="0"/>
    <x v="64"/>
    <x v="5"/>
    <n v="2"/>
    <n v="3780"/>
  </r>
  <r>
    <x v="0"/>
    <x v="11"/>
    <x v="4"/>
    <x v="1"/>
    <x v="65"/>
    <x v="2"/>
    <n v="35"/>
    <n v="1694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  <r>
    <x v="1"/>
    <x v="12"/>
    <x v="5"/>
    <x v="2"/>
    <x v="66"/>
    <x v="6"/>
    <n v="61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6" cacheId="8" applyNumberFormats="0" applyBorderFormats="0" applyFontFormats="0" applyPatternFormats="0" applyAlignmentFormats="0" applyWidthHeightFormats="1" dataCaption="Values" updatedVersion="3" minRefreshableVersion="3" showCalcMbrs="0" useAutoFormatting="1" rowGrandTotals="0" itemPrintTitles="1" createdVersion="3" indent="0" outline="1" outlineData="1" multipleFieldFilters="0">
  <location ref="B6:C78" firstHeaderRow="1" firstDataRow="1" firstDataCol="1" rowPageCount="4" colPageCount="1"/>
  <pivotFields count="8">
    <pivotField axis="axisPage" showAll="0">
      <items count="6">
        <item m="1" x="2"/>
        <item m="1" x="4"/>
        <item x="1"/>
        <item x="0"/>
        <item m="1" x="3"/>
        <item t="default"/>
      </items>
    </pivotField>
    <pivotField axis="axisPage" showAll="0">
      <items count="21">
        <item m="1" x="13"/>
        <item m="1" x="15"/>
        <item m="1" x="17"/>
        <item m="1" x="19"/>
        <item m="1" x="18"/>
        <item m="1" x="14"/>
        <item x="12"/>
        <item m="1" x="16"/>
        <item x="1"/>
        <item x="2"/>
        <item x="3"/>
        <item x="4"/>
        <item x="6"/>
        <item x="8"/>
        <item x="9"/>
        <item x="0"/>
        <item x="5"/>
        <item x="10"/>
        <item x="11"/>
        <item x="7"/>
        <item t="default"/>
      </items>
    </pivotField>
    <pivotField axis="axisPage" showAll="0" defaultSubtotal="0">
      <items count="8">
        <item x="2"/>
        <item x="5"/>
        <item x="4"/>
        <item x="1"/>
        <item x="6"/>
        <item m="1" x="7"/>
        <item x="0"/>
        <item x="3"/>
      </items>
    </pivotField>
    <pivotField axis="axisPage" showAll="0">
      <items count="4">
        <item x="1"/>
        <item x="0"/>
        <item x="2"/>
        <item t="default"/>
      </items>
    </pivotField>
    <pivotField axis="axisRow" showAll="0" sortType="descending">
      <items count="104">
        <item x="0"/>
        <item m="1" x="80"/>
        <item x="1"/>
        <item x="2"/>
        <item x="3"/>
        <item x="4"/>
        <item x="5"/>
        <item x="6"/>
        <item x="7"/>
        <item x="8"/>
        <item x="9"/>
        <item m="1" x="92"/>
        <item m="1" x="97"/>
        <item m="1" x="101"/>
        <item x="10"/>
        <item m="1" x="102"/>
        <item x="11"/>
        <item x="12"/>
        <item m="1" x="99"/>
        <item m="1" x="90"/>
        <item x="13"/>
        <item x="14"/>
        <item x="15"/>
        <item m="1" x="84"/>
        <item m="1" x="81"/>
        <item m="1" x="89"/>
        <item x="16"/>
        <item x="17"/>
        <item x="18"/>
        <item m="1" x="79"/>
        <item x="19"/>
        <item m="1" x="74"/>
        <item m="1" x="86"/>
        <item x="20"/>
        <item x="21"/>
        <item x="22"/>
        <item m="1" x="76"/>
        <item m="1" x="98"/>
        <item x="23"/>
        <item x="24"/>
        <item m="1" x="93"/>
        <item x="25"/>
        <item m="1" x="94"/>
        <item x="26"/>
        <item x="27"/>
        <item m="1" x="87"/>
        <item m="1" x="95"/>
        <item m="1" x="100"/>
        <item x="28"/>
        <item x="29"/>
        <item x="30"/>
        <item x="31"/>
        <item m="1" x="88"/>
        <item x="32"/>
        <item x="33"/>
        <item x="34"/>
        <item x="35"/>
        <item x="36"/>
        <item m="1" x="72"/>
        <item m="1" x="82"/>
        <item x="37"/>
        <item x="38"/>
        <item m="1" x="67"/>
        <item x="39"/>
        <item x="40"/>
        <item m="1" x="96"/>
        <item x="41"/>
        <item x="42"/>
        <item x="43"/>
        <item x="44"/>
        <item x="45"/>
        <item x="46"/>
        <item m="1" x="78"/>
        <item x="47"/>
        <item x="48"/>
        <item x="49"/>
        <item x="50"/>
        <item x="51"/>
        <item m="1" x="71"/>
        <item x="52"/>
        <item x="53"/>
        <item m="1" x="77"/>
        <item x="54"/>
        <item x="55"/>
        <item x="56"/>
        <item m="1" x="69"/>
        <item x="57"/>
        <item x="58"/>
        <item x="59"/>
        <item x="60"/>
        <item m="1" x="70"/>
        <item m="1" x="73"/>
        <item x="61"/>
        <item x="62"/>
        <item m="1" x="75"/>
        <item m="1" x="85"/>
        <item x="63"/>
        <item m="1" x="91"/>
        <item m="1" x="83"/>
        <item m="1" x="68"/>
        <item x="65"/>
        <item x="64"/>
        <item x="66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Row" showAll="0" sortType="descending">
      <items count="9">
        <item x="1"/>
        <item x="3"/>
        <item x="2"/>
        <item x="5"/>
        <item x="4"/>
        <item x="0"/>
        <item h="1" x="6"/>
        <item h="1" m="1" x="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dataField="1" showAll="0"/>
  </pivotFields>
  <rowFields count="2">
    <field x="5"/>
    <field x="4"/>
  </rowFields>
  <rowItems count="72">
    <i>
      <x/>
    </i>
    <i r="1">
      <x v="75"/>
    </i>
    <i r="1">
      <x v="2"/>
    </i>
    <i r="1">
      <x v="66"/>
    </i>
    <i r="1">
      <x v="50"/>
    </i>
    <i r="1">
      <x v="41"/>
    </i>
    <i r="1">
      <x v="63"/>
    </i>
    <i r="1">
      <x v="48"/>
    </i>
    <i r="1">
      <x v="76"/>
    </i>
    <i r="1">
      <x v="30"/>
    </i>
    <i r="1">
      <x v="17"/>
    </i>
    <i r="1">
      <x v="6"/>
    </i>
    <i r="1">
      <x v="34"/>
    </i>
    <i r="1">
      <x v="39"/>
    </i>
    <i r="1">
      <x v="73"/>
    </i>
    <i r="1">
      <x v="93"/>
    </i>
    <i>
      <x v="2"/>
    </i>
    <i r="1">
      <x v="80"/>
    </i>
    <i r="1">
      <x v="5"/>
    </i>
    <i r="1">
      <x v="9"/>
    </i>
    <i r="1">
      <x v="3"/>
    </i>
    <i r="1">
      <x v="89"/>
    </i>
    <i r="1">
      <x v="57"/>
    </i>
    <i r="1">
      <x v="38"/>
    </i>
    <i r="1">
      <x v="28"/>
    </i>
    <i r="1">
      <x v="22"/>
    </i>
    <i r="1">
      <x v="49"/>
    </i>
    <i r="1">
      <x v="100"/>
    </i>
    <i r="1">
      <x v="71"/>
    </i>
    <i r="1">
      <x v="92"/>
    </i>
    <i r="1">
      <x v="7"/>
    </i>
    <i r="1">
      <x v="61"/>
    </i>
    <i r="1">
      <x v="55"/>
    </i>
    <i>
      <x v="5"/>
    </i>
    <i r="1">
      <x v="86"/>
    </i>
    <i r="1">
      <x v="77"/>
    </i>
    <i r="1">
      <x/>
    </i>
    <i r="1">
      <x v="51"/>
    </i>
    <i r="1">
      <x v="54"/>
    </i>
    <i r="1">
      <x v="8"/>
    </i>
    <i r="1">
      <x v="64"/>
    </i>
    <i r="1">
      <x v="53"/>
    </i>
    <i r="1">
      <x v="70"/>
    </i>
    <i r="1">
      <x v="84"/>
    </i>
    <i r="1">
      <x v="82"/>
    </i>
    <i r="1">
      <x v="68"/>
    </i>
    <i r="1">
      <x v="4"/>
    </i>
    <i r="1">
      <x v="74"/>
    </i>
    <i r="1">
      <x v="88"/>
    </i>
    <i>
      <x v="1"/>
    </i>
    <i r="1">
      <x v="60"/>
    </i>
    <i r="1">
      <x v="14"/>
    </i>
    <i r="1">
      <x v="87"/>
    </i>
    <i r="1">
      <x v="79"/>
    </i>
    <i r="1">
      <x v="26"/>
    </i>
    <i r="1">
      <x v="27"/>
    </i>
    <i r="1">
      <x v="69"/>
    </i>
    <i r="1">
      <x v="67"/>
    </i>
    <i r="1">
      <x v="10"/>
    </i>
    <i r="1">
      <x v="21"/>
    </i>
    <i r="1">
      <x v="96"/>
    </i>
    <i r="1">
      <x v="33"/>
    </i>
    <i r="1">
      <x v="44"/>
    </i>
    <i>
      <x v="3"/>
    </i>
    <i r="1">
      <x v="101"/>
    </i>
    <i r="1">
      <x v="20"/>
    </i>
    <i r="1">
      <x v="35"/>
    </i>
    <i>
      <x v="4"/>
    </i>
    <i r="1">
      <x v="56"/>
    </i>
    <i r="1">
      <x v="16"/>
    </i>
    <i r="1">
      <x v="43"/>
    </i>
    <i r="1">
      <x v="83"/>
    </i>
  </rowItems>
  <colItems count="1">
    <i/>
  </colItems>
  <pageFields count="4">
    <pageField fld="3" hier="-1"/>
    <pageField fld="0" hier="-1"/>
    <pageField fld="1" hier="-1"/>
    <pageField fld="2" hier="-1"/>
  </pageFields>
  <dataFields count="1">
    <dataField name="Sum of Score Total" fld="7" baseField="0" baseItem="0"/>
  </dataFields>
  <pivotTableStyleInfo name="PivotStyleMedium8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BR100"/>
  <sheetViews>
    <sheetView zoomScale="60" zoomScaleNormal="60" workbookViewId="0">
      <pane xSplit="9" ySplit="3" topLeftCell="J22" activePane="bottomRight" state="frozen"/>
      <selection pane="topRight" activeCell="E1" sqref="E1"/>
      <selection pane="bottomLeft" activeCell="A3" sqref="A3"/>
      <selection pane="bottomRight" activeCell="E76" sqref="E76"/>
    </sheetView>
  </sheetViews>
  <sheetFormatPr defaultRowHeight="15"/>
  <cols>
    <col min="1" max="1" width="3.7109375" customWidth="1"/>
    <col min="2" max="2" width="10.42578125" bestFit="1" customWidth="1"/>
    <col min="3" max="3" width="29.140625" bestFit="1" customWidth="1"/>
    <col min="4" max="4" width="16.28515625" customWidth="1"/>
    <col min="5" max="5" width="24" customWidth="1"/>
    <col min="6" max="6" width="34.7109375" bestFit="1" customWidth="1"/>
    <col min="7" max="9" width="24" customWidth="1"/>
    <col min="10" max="10" width="16.28515625" customWidth="1"/>
    <col min="11" max="11" width="12.42578125" customWidth="1"/>
    <col min="12" max="12" width="11.5703125" customWidth="1"/>
    <col min="13" max="13" width="12" customWidth="1"/>
    <col min="14" max="14" width="12.7109375" customWidth="1"/>
    <col min="16" max="16" width="12" bestFit="1" customWidth="1"/>
    <col min="21" max="21" width="12" bestFit="1" customWidth="1"/>
  </cols>
  <sheetData>
    <row r="1" spans="1:70" s="1" customFormat="1"/>
    <row r="2" spans="1:70" s="1" customFormat="1" ht="68.25" customHeight="1">
      <c r="B2" s="55" t="s">
        <v>55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6"/>
    </row>
    <row r="3" spans="1:70" s="7" customFormat="1" ht="23.25">
      <c r="B3" s="10" t="s">
        <v>78</v>
      </c>
      <c r="C3" s="11" t="s">
        <v>52</v>
      </c>
      <c r="D3" s="42" t="s">
        <v>84</v>
      </c>
      <c r="E3" s="11" t="s">
        <v>76</v>
      </c>
      <c r="F3" s="42" t="s">
        <v>53</v>
      </c>
      <c r="G3" s="11" t="s">
        <v>62</v>
      </c>
      <c r="H3" s="11" t="s">
        <v>75</v>
      </c>
      <c r="I3" s="11" t="s">
        <v>54</v>
      </c>
      <c r="J3" s="54" t="s">
        <v>74</v>
      </c>
      <c r="K3" s="54"/>
      <c r="L3" s="54"/>
      <c r="M3" s="54"/>
      <c r="N3" s="54"/>
      <c r="O3" s="6"/>
      <c r="P3" s="6"/>
      <c r="Q3" s="6"/>
      <c r="R3" s="6"/>
    </row>
    <row r="4" spans="1:70" s="1" customFormat="1" ht="21">
      <c r="B4" s="4" t="s">
        <v>24</v>
      </c>
      <c r="C4" s="40" t="s">
        <v>151</v>
      </c>
      <c r="D4" s="2" t="s">
        <v>68</v>
      </c>
      <c r="E4" s="44" t="s">
        <v>22</v>
      </c>
      <c r="F4" s="2" t="s">
        <v>163</v>
      </c>
      <c r="G4" s="41" t="str">
        <f t="shared" ref="G4:G40" si="0">IF(E4=M,IF(I4&lt;=MBP,MB,IF(I4&lt;=MIP,MI,MA)),IF(E4=W,IF(I4&lt;=WBP,WB,IF(I4&lt;=WIP,WI,WA))))</f>
        <v>WI</v>
      </c>
      <c r="H4" s="9">
        <f t="shared" ref="H4:H35" si="1">RANK(I4,$I$4:$I$100,0)</f>
        <v>32</v>
      </c>
      <c r="I4" s="23">
        <f>CEILING(SUM(LARGE(J4:BI4,{1,2,3,4,5})),1)</f>
        <v>1811</v>
      </c>
      <c r="J4" s="26">
        <f>ZEE</f>
        <v>450</v>
      </c>
      <c r="K4" s="3">
        <f>ZC</f>
        <v>370</v>
      </c>
      <c r="L4" s="3">
        <f>ZFFF</f>
        <v>320</v>
      </c>
      <c r="M4" s="3">
        <f>ZHH*F</f>
        <v>352</v>
      </c>
      <c r="N4" s="12">
        <f>ZCCC*F</f>
        <v>319</v>
      </c>
      <c r="O4" s="3"/>
      <c r="P4" s="3"/>
      <c r="Q4" s="3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</row>
    <row r="5" spans="1:70" s="1" customFormat="1" ht="21">
      <c r="B5" s="4" t="s">
        <v>24</v>
      </c>
      <c r="C5" s="40" t="s">
        <v>115</v>
      </c>
      <c r="D5" s="45" t="s">
        <v>64</v>
      </c>
      <c r="E5" s="44" t="s">
        <v>12</v>
      </c>
      <c r="F5" s="46" t="s">
        <v>114</v>
      </c>
      <c r="G5" s="41" t="str">
        <f t="shared" si="0"/>
        <v>MA</v>
      </c>
      <c r="H5" s="9">
        <f t="shared" si="1"/>
        <v>3</v>
      </c>
      <c r="I5" s="23">
        <f>CEILING(SUM(LARGE(J5:BI5,{1,2,3,4,5})),1)</f>
        <v>3771</v>
      </c>
      <c r="J5" s="26">
        <f>ZW</f>
        <v>750</v>
      </c>
      <c r="K5" s="3">
        <f>ZHHH*F</f>
        <v>792.00000000000011</v>
      </c>
      <c r="L5" s="3">
        <f>ZU</f>
        <v>710</v>
      </c>
      <c r="M5" s="3">
        <f>ZUU*F</f>
        <v>759.00000000000011</v>
      </c>
      <c r="N5" s="12">
        <f>ZDDD*F</f>
        <v>693</v>
      </c>
      <c r="O5" s="3">
        <f>ZG</f>
        <v>760</v>
      </c>
      <c r="P5" s="3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</row>
    <row r="6" spans="1:70" s="1" customFormat="1" ht="21">
      <c r="B6" s="4" t="s">
        <v>24</v>
      </c>
      <c r="C6" s="40" t="s">
        <v>151</v>
      </c>
      <c r="D6" s="2" t="s">
        <v>66</v>
      </c>
      <c r="E6" s="44" t="s">
        <v>12</v>
      </c>
      <c r="F6" s="2" t="s">
        <v>175</v>
      </c>
      <c r="G6" s="41" t="str">
        <f t="shared" si="0"/>
        <v>MI</v>
      </c>
      <c r="H6" s="9">
        <f t="shared" si="1"/>
        <v>21</v>
      </c>
      <c r="I6" s="23">
        <f>CEILING(SUM(LARGE(J6:BI6,{1,2,3,4,5})),1)</f>
        <v>2075</v>
      </c>
      <c r="J6" s="26">
        <f>ZB*F</f>
        <v>77</v>
      </c>
      <c r="K6" s="3">
        <f>ZA*F</f>
        <v>220.00000000000003</v>
      </c>
      <c r="L6" s="3">
        <f>ZKK*F</f>
        <v>275</v>
      </c>
      <c r="M6" s="3">
        <f>ZYY*F</f>
        <v>286</v>
      </c>
      <c r="N6" s="12">
        <f>ZJ*F</f>
        <v>297</v>
      </c>
      <c r="O6" s="4">
        <f>ZCCC*F</f>
        <v>319</v>
      </c>
      <c r="P6" s="4">
        <f>ZFFF*F</f>
        <v>352</v>
      </c>
      <c r="Q6" s="4">
        <f>ZJJ</f>
        <v>350</v>
      </c>
      <c r="R6" s="4">
        <f>ZZ*F</f>
        <v>363.00000000000006</v>
      </c>
      <c r="S6" s="4">
        <f>ZEE</f>
        <v>450</v>
      </c>
      <c r="T6" s="4">
        <f>ZHH*F</f>
        <v>352</v>
      </c>
      <c r="U6" s="4">
        <f>ZDD</f>
        <v>360</v>
      </c>
      <c r="V6" s="4">
        <f>ZFF</f>
        <v>550</v>
      </c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</row>
    <row r="7" spans="1:70" s="1" customFormat="1" ht="21">
      <c r="B7" s="4" t="s">
        <v>24</v>
      </c>
      <c r="C7" s="40" t="s">
        <v>151</v>
      </c>
      <c r="D7" s="2" t="s">
        <v>69</v>
      </c>
      <c r="E7" s="44" t="s">
        <v>22</v>
      </c>
      <c r="F7" s="2" t="s">
        <v>167</v>
      </c>
      <c r="G7" s="41" t="str">
        <f t="shared" si="0"/>
        <v>WI</v>
      </c>
      <c r="H7" s="9">
        <f t="shared" si="1"/>
        <v>52</v>
      </c>
      <c r="I7" s="23">
        <f>CEILING(SUM(LARGE(J7:BI7,{1,2,3,4,5})),1)</f>
        <v>1020</v>
      </c>
      <c r="J7" s="26">
        <f>ZB*F</f>
        <v>77</v>
      </c>
      <c r="K7" s="3">
        <f>ZR*F</f>
        <v>176</v>
      </c>
      <c r="L7" s="3">
        <f>ZT*F</f>
        <v>176</v>
      </c>
      <c r="M7" s="3">
        <f>ZCC*F</f>
        <v>242.00000000000003</v>
      </c>
      <c r="N7" s="12">
        <f>ZT*F</f>
        <v>176</v>
      </c>
      <c r="O7" s="4">
        <f>ZKK</f>
        <v>250</v>
      </c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</row>
    <row r="8" spans="1:70" s="1" customFormat="1" ht="21">
      <c r="B8" s="4" t="s">
        <v>24</v>
      </c>
      <c r="C8" s="40" t="s">
        <v>151</v>
      </c>
      <c r="D8" s="2" t="s">
        <v>65</v>
      </c>
      <c r="E8" s="44" t="s">
        <v>12</v>
      </c>
      <c r="F8" s="2" t="s">
        <v>168</v>
      </c>
      <c r="G8" s="41" t="str">
        <f t="shared" si="0"/>
        <v>MI</v>
      </c>
      <c r="H8" s="9">
        <f t="shared" si="1"/>
        <v>19</v>
      </c>
      <c r="I8" s="23">
        <f>CEILING(SUM(LARGE(J8:BI8,{1,2,3,4,5})),1)</f>
        <v>2109</v>
      </c>
      <c r="J8" s="26">
        <f>ZC*F</f>
        <v>407.00000000000006</v>
      </c>
      <c r="K8" s="3">
        <f>ZZZ</f>
        <v>380</v>
      </c>
      <c r="L8" s="3">
        <f>ZHH*F</f>
        <v>352</v>
      </c>
      <c r="M8" s="3">
        <f>ZN*F</f>
        <v>396.00000000000006</v>
      </c>
      <c r="N8" s="12">
        <f>ZZ*F</f>
        <v>363.00000000000006</v>
      </c>
      <c r="O8" s="4">
        <f>ZDD*F</f>
        <v>396.00000000000006</v>
      </c>
      <c r="P8" s="4">
        <f>ZLLL</f>
        <v>530</v>
      </c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</row>
    <row r="9" spans="1:70" s="1" customFormat="1" ht="21">
      <c r="B9" s="4" t="s">
        <v>24</v>
      </c>
      <c r="C9" s="43" t="s">
        <v>117</v>
      </c>
      <c r="D9" s="45" t="s">
        <v>65</v>
      </c>
      <c r="E9" s="44" t="s">
        <v>12</v>
      </c>
      <c r="F9" s="46" t="s">
        <v>116</v>
      </c>
      <c r="G9" s="41" t="str">
        <f t="shared" si="0"/>
        <v>MA</v>
      </c>
      <c r="H9" s="9">
        <f t="shared" si="1"/>
        <v>12</v>
      </c>
      <c r="I9" s="23">
        <f>CEILING(SUM(LARGE(J9:BI9,{1,2,3,4,5})),1)</f>
        <v>2454</v>
      </c>
      <c r="J9" s="26">
        <f>ZN</f>
        <v>360</v>
      </c>
      <c r="K9" s="3">
        <f>ZC*F</f>
        <v>407.00000000000006</v>
      </c>
      <c r="L9" s="3">
        <f>ZD*F</f>
        <v>451.00000000000006</v>
      </c>
      <c r="M9" s="3">
        <f>ZP</f>
        <v>420</v>
      </c>
      <c r="N9" s="12">
        <f>ZV*F</f>
        <v>632.5</v>
      </c>
      <c r="O9" s="4">
        <f>ZEE</f>
        <v>450</v>
      </c>
      <c r="P9" s="4">
        <f>ZII</f>
        <v>500</v>
      </c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</row>
    <row r="10" spans="1:70" s="1" customFormat="1" ht="21">
      <c r="B10" s="4" t="s">
        <v>24</v>
      </c>
      <c r="C10" s="43" t="s">
        <v>132</v>
      </c>
      <c r="D10" s="45" t="s">
        <v>64</v>
      </c>
      <c r="E10" s="44" t="s">
        <v>12</v>
      </c>
      <c r="F10" s="46" t="s">
        <v>140</v>
      </c>
      <c r="G10" s="41" t="str">
        <f t="shared" si="0"/>
        <v>MI</v>
      </c>
      <c r="H10" s="9">
        <f t="shared" si="1"/>
        <v>42</v>
      </c>
      <c r="I10" s="23">
        <f>CEILING(SUM(LARGE(J10:BI10,{1,2,3,4,5})),1)</f>
        <v>1463</v>
      </c>
      <c r="J10" s="26">
        <f>ZMM*F</f>
        <v>99.000000000000014</v>
      </c>
      <c r="K10" s="3">
        <f>ZVV*F</f>
        <v>671</v>
      </c>
      <c r="L10" s="3">
        <f>ZDDD*F</f>
        <v>693</v>
      </c>
      <c r="M10" s="3">
        <v>0</v>
      </c>
      <c r="N10" s="12">
        <v>0</v>
      </c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</row>
    <row r="11" spans="1:70" s="1" customFormat="1" ht="21">
      <c r="B11" s="4" t="s">
        <v>24</v>
      </c>
      <c r="C11" s="40" t="s">
        <v>132</v>
      </c>
      <c r="D11" s="45" t="s">
        <v>68</v>
      </c>
      <c r="E11" s="44" t="s">
        <v>22</v>
      </c>
      <c r="F11" s="46" t="s">
        <v>142</v>
      </c>
      <c r="G11" s="41" t="str">
        <f t="shared" si="0"/>
        <v>WI</v>
      </c>
      <c r="H11" s="9">
        <f t="shared" si="1"/>
        <v>36</v>
      </c>
      <c r="I11" s="23">
        <f>CEILING(SUM(LARGE(J11:BI11,{1,2,3,4,5})),1)</f>
        <v>1683</v>
      </c>
      <c r="J11" s="26">
        <f>ZA*F</f>
        <v>220.00000000000003</v>
      </c>
      <c r="K11" s="3">
        <f>ZKK*F</f>
        <v>275</v>
      </c>
      <c r="L11" s="3">
        <f>ZYY*F</f>
        <v>286</v>
      </c>
      <c r="M11" s="3">
        <f>ZCCC*F</f>
        <v>319</v>
      </c>
      <c r="N11" s="12">
        <f>ZN*F</f>
        <v>396.00000000000006</v>
      </c>
      <c r="O11" s="4">
        <f>ZC*F</f>
        <v>407.00000000000006</v>
      </c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</row>
    <row r="12" spans="1:70" s="1" customFormat="1" ht="21">
      <c r="A12"/>
      <c r="B12" s="4" t="s">
        <v>24</v>
      </c>
      <c r="C12" s="40" t="s">
        <v>151</v>
      </c>
      <c r="D12" s="2" t="s">
        <v>65</v>
      </c>
      <c r="E12" s="44" t="s">
        <v>12</v>
      </c>
      <c r="F12" s="2" t="s">
        <v>159</v>
      </c>
      <c r="G12" s="41" t="str">
        <f t="shared" si="0"/>
        <v>MI</v>
      </c>
      <c r="H12" s="9">
        <f t="shared" si="1"/>
        <v>20</v>
      </c>
      <c r="I12" s="23">
        <f>CEILING(SUM(LARGE(J12:BI12,{1,2,3,4,5})),1)</f>
        <v>2082</v>
      </c>
      <c r="J12" s="26">
        <f>ZCCC*F</f>
        <v>319</v>
      </c>
      <c r="K12" s="3">
        <f>ZZZ*F</f>
        <v>418.00000000000006</v>
      </c>
      <c r="L12" s="3">
        <f>ZC*F</f>
        <v>407.00000000000006</v>
      </c>
      <c r="M12" s="3">
        <f>ZLL*F</f>
        <v>418.00000000000006</v>
      </c>
      <c r="N12" s="12">
        <f>ZX*F</f>
        <v>429.00000000000006</v>
      </c>
      <c r="O12" s="4">
        <f>ZD</f>
        <v>410</v>
      </c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</row>
    <row r="13" spans="1:70" s="1" customFormat="1" ht="21">
      <c r="A13"/>
      <c r="B13" s="4" t="s">
        <v>24</v>
      </c>
      <c r="C13" s="40" t="s">
        <v>132</v>
      </c>
      <c r="D13" s="2"/>
      <c r="E13" s="44" t="s">
        <v>12</v>
      </c>
      <c r="F13" s="2" t="s">
        <v>144</v>
      </c>
      <c r="G13" s="41" t="str">
        <f t="shared" si="0"/>
        <v>MB</v>
      </c>
      <c r="H13" s="9">
        <f t="shared" si="1"/>
        <v>61</v>
      </c>
      <c r="I13" s="23">
        <f>CEILING(SUM(LARGE(J13:BI13,{1,2,3,4,5})),1)</f>
        <v>0</v>
      </c>
      <c r="J13" s="26">
        <v>0</v>
      </c>
      <c r="K13" s="3">
        <v>0</v>
      </c>
      <c r="L13" s="3">
        <v>0</v>
      </c>
      <c r="M13" s="3">
        <v>0</v>
      </c>
      <c r="N13" s="12">
        <v>0</v>
      </c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</row>
    <row r="14" spans="1:70" s="1" customFormat="1" ht="21">
      <c r="A14"/>
      <c r="B14" s="4" t="s">
        <v>24</v>
      </c>
      <c r="C14" s="43" t="s">
        <v>117</v>
      </c>
      <c r="D14" s="45" t="s">
        <v>66</v>
      </c>
      <c r="E14" s="44" t="s">
        <v>12</v>
      </c>
      <c r="F14" s="46" t="s">
        <v>120</v>
      </c>
      <c r="G14" s="41" t="str">
        <f t="shared" si="0"/>
        <v>MB</v>
      </c>
      <c r="H14" s="9">
        <f t="shared" si="1"/>
        <v>46</v>
      </c>
      <c r="I14" s="23">
        <f>CEILING(SUM(LARGE(J14:BI14,{1,2,3,4,5})),1)</f>
        <v>1269</v>
      </c>
      <c r="J14" s="26">
        <f>ZH</f>
        <v>190</v>
      </c>
      <c r="K14" s="3">
        <f>ZA*F</f>
        <v>220.00000000000003</v>
      </c>
      <c r="L14" s="3">
        <f>ZKK</f>
        <v>250</v>
      </c>
      <c r="M14" s="3">
        <f>ZYY</f>
        <v>260</v>
      </c>
      <c r="N14" s="12">
        <f>ZCCC*F</f>
        <v>319</v>
      </c>
      <c r="O14" s="4">
        <f>ZCC</f>
        <v>220</v>
      </c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</row>
    <row r="15" spans="1:70" s="1" customFormat="1" ht="21">
      <c r="A15"/>
      <c r="B15" s="4" t="s">
        <v>24</v>
      </c>
      <c r="C15" s="40" t="s">
        <v>132</v>
      </c>
      <c r="D15" s="2" t="s">
        <v>69</v>
      </c>
      <c r="E15" s="44" t="s">
        <v>22</v>
      </c>
      <c r="F15" s="46" t="s">
        <v>131</v>
      </c>
      <c r="G15" s="41" t="str">
        <f t="shared" si="0"/>
        <v>WB</v>
      </c>
      <c r="H15" s="9">
        <f t="shared" si="1"/>
        <v>58</v>
      </c>
      <c r="I15" s="23">
        <f>CEILING(SUM(LARGE(J15:BI15,{1,2,3,4,5})),1)</f>
        <v>312</v>
      </c>
      <c r="J15" s="26">
        <f>ZBBB*F</f>
        <v>33</v>
      </c>
      <c r="K15" s="3">
        <f>ZGG*F</f>
        <v>55.000000000000007</v>
      </c>
      <c r="L15" s="3">
        <f>ZS*F</f>
        <v>66</v>
      </c>
      <c r="M15" s="3">
        <f>ZB</f>
        <v>70</v>
      </c>
      <c r="N15" s="12">
        <f>ZL*F</f>
        <v>88</v>
      </c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</row>
    <row r="16" spans="1:70" s="1" customFormat="1" ht="26.25" customHeight="1">
      <c r="A16"/>
      <c r="B16" s="4" t="s">
        <v>24</v>
      </c>
      <c r="C16" s="40" t="s">
        <v>117</v>
      </c>
      <c r="D16" s="2" t="s">
        <v>64</v>
      </c>
      <c r="E16" s="44" t="s">
        <v>12</v>
      </c>
      <c r="F16" s="2" t="s">
        <v>153</v>
      </c>
      <c r="G16" s="41" t="str">
        <f t="shared" si="0"/>
        <v>MA</v>
      </c>
      <c r="H16" s="9">
        <f t="shared" si="1"/>
        <v>11</v>
      </c>
      <c r="I16" s="23">
        <f>CEILING(SUM(LARGE(J16:BI16,{1,2,3,4,5})),1)</f>
        <v>2516</v>
      </c>
      <c r="J16" s="26">
        <f>ZLL*F</f>
        <v>418.00000000000006</v>
      </c>
      <c r="K16" s="3">
        <f>ZD*F</f>
        <v>451.00000000000006</v>
      </c>
      <c r="L16" s="3">
        <f>ZSS</f>
        <v>530</v>
      </c>
      <c r="M16" s="3">
        <f>ZM*F</f>
        <v>654.5</v>
      </c>
      <c r="N16" s="12">
        <f>ZZZ*F</f>
        <v>418.00000000000006</v>
      </c>
      <c r="O16" s="4">
        <f>ZP*F</f>
        <v>462.00000000000006</v>
      </c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</row>
    <row r="17" spans="1:70" s="1" customFormat="1" ht="21">
      <c r="A17"/>
      <c r="B17" s="4" t="s">
        <v>24</v>
      </c>
      <c r="C17" s="43" t="s">
        <v>132</v>
      </c>
      <c r="D17" s="45" t="s">
        <v>67</v>
      </c>
      <c r="E17" s="44" t="s">
        <v>22</v>
      </c>
      <c r="F17" s="46" t="s">
        <v>188</v>
      </c>
      <c r="G17" s="41" t="str">
        <f t="shared" si="0"/>
        <v>WA</v>
      </c>
      <c r="H17" s="9">
        <f t="shared" si="1"/>
        <v>17</v>
      </c>
      <c r="I17" s="23">
        <f>CEILING(SUM(LARGE(J17:BI17,{1,2,3,4,5})),1)</f>
        <v>2188</v>
      </c>
      <c r="J17" s="26">
        <f>ZN*F</f>
        <v>396.00000000000006</v>
      </c>
      <c r="K17" s="3">
        <f>ZZZ</f>
        <v>380</v>
      </c>
      <c r="L17" s="3">
        <f>ZP*F</f>
        <v>462.00000000000006</v>
      </c>
      <c r="M17" s="3">
        <f>ZEE</f>
        <v>450</v>
      </c>
      <c r="N17" s="12">
        <f>ZII</f>
        <v>500</v>
      </c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</row>
    <row r="18" spans="1:70" s="1" customFormat="1" ht="21">
      <c r="A18"/>
      <c r="B18" s="4" t="s">
        <v>24</v>
      </c>
      <c r="C18" s="40" t="s">
        <v>90</v>
      </c>
      <c r="D18" s="45" t="s">
        <v>65</v>
      </c>
      <c r="E18" s="44" t="s">
        <v>12</v>
      </c>
      <c r="F18" s="46" t="s">
        <v>125</v>
      </c>
      <c r="G18" s="41" t="str">
        <f t="shared" si="0"/>
        <v>MB</v>
      </c>
      <c r="H18" s="9">
        <f t="shared" si="1"/>
        <v>61</v>
      </c>
      <c r="I18" s="23">
        <f>CEILING(SUM(LARGE(J18:BI18,{1,2,3,4,5})),1)</f>
        <v>0</v>
      </c>
      <c r="J18" s="26">
        <v>0</v>
      </c>
      <c r="K18" s="3">
        <v>0</v>
      </c>
      <c r="L18" s="3">
        <v>0</v>
      </c>
      <c r="M18" s="3">
        <v>0</v>
      </c>
      <c r="N18" s="12">
        <v>0</v>
      </c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</row>
    <row r="19" spans="1:70" s="1" customFormat="1" ht="21">
      <c r="A19"/>
      <c r="B19" s="4" t="s">
        <v>24</v>
      </c>
      <c r="C19" s="43" t="s">
        <v>155</v>
      </c>
      <c r="D19" s="45" t="s">
        <v>66</v>
      </c>
      <c r="E19" s="44" t="s">
        <v>12</v>
      </c>
      <c r="F19" s="46" t="s">
        <v>129</v>
      </c>
      <c r="G19" s="41" t="str">
        <f t="shared" si="0"/>
        <v>MI</v>
      </c>
      <c r="H19" s="9">
        <f t="shared" si="1"/>
        <v>28</v>
      </c>
      <c r="I19" s="23">
        <f>CEILING(SUM(LARGE(J19:BI19,{1,2,3,4,5})),1)</f>
        <v>1871</v>
      </c>
      <c r="J19" s="26">
        <f>ZYY*F</f>
        <v>286</v>
      </c>
      <c r="K19" s="3">
        <f>ZN</f>
        <v>360</v>
      </c>
      <c r="L19" s="3">
        <f>ZDD</f>
        <v>360</v>
      </c>
      <c r="M19" s="3">
        <f>ZC</f>
        <v>370</v>
      </c>
      <c r="N19" s="12">
        <f>ZZZ*F</f>
        <v>418.00000000000006</v>
      </c>
      <c r="O19" s="4">
        <f>ZZ*F</f>
        <v>363.00000000000006</v>
      </c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</row>
    <row r="20" spans="1:70" s="1" customFormat="1" ht="21">
      <c r="A20"/>
      <c r="B20" s="4" t="s">
        <v>24</v>
      </c>
      <c r="C20" s="43" t="s">
        <v>132</v>
      </c>
      <c r="D20" s="45" t="s">
        <v>66</v>
      </c>
      <c r="E20" s="44" t="s">
        <v>12</v>
      </c>
      <c r="F20" s="46" t="s">
        <v>187</v>
      </c>
      <c r="G20" s="41" t="str">
        <f t="shared" si="0"/>
        <v>MB</v>
      </c>
      <c r="H20" s="9">
        <f t="shared" si="1"/>
        <v>49</v>
      </c>
      <c r="I20" s="23">
        <f>CEILING(SUM(LARGE(J20:BI20,{1,2,3,4,5})),1)</f>
        <v>1157</v>
      </c>
      <c r="J20" s="26">
        <f>ZGG*F</f>
        <v>55.000000000000007</v>
      </c>
      <c r="K20" s="3">
        <f>ZR</f>
        <v>160</v>
      </c>
      <c r="L20" s="3">
        <f>ZT*F</f>
        <v>176</v>
      </c>
      <c r="M20" s="3">
        <f>ZA</f>
        <v>200</v>
      </c>
      <c r="N20" s="12">
        <f>ZKK*F</f>
        <v>275</v>
      </c>
      <c r="O20" s="4">
        <f>ZNN</f>
        <v>180</v>
      </c>
      <c r="P20" s="4">
        <f>ZCC*F</f>
        <v>242.00000000000003</v>
      </c>
      <c r="Q20" s="4">
        <f>ZYY</f>
        <v>260</v>
      </c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</row>
    <row r="21" spans="1:70" s="1" customFormat="1" ht="21">
      <c r="A21"/>
      <c r="B21" s="4" t="s">
        <v>24</v>
      </c>
      <c r="C21" s="40" t="s">
        <v>123</v>
      </c>
      <c r="D21" s="2" t="s">
        <v>66</v>
      </c>
      <c r="E21" s="44" t="s">
        <v>12</v>
      </c>
      <c r="F21" s="2" t="s">
        <v>183</v>
      </c>
      <c r="G21" s="41" t="str">
        <f t="shared" si="0"/>
        <v>MB</v>
      </c>
      <c r="H21" s="9">
        <f t="shared" si="1"/>
        <v>55</v>
      </c>
      <c r="I21" s="23">
        <f>CEILING(SUM(LARGE(J21:BI21,{1,2,3,4,5})),1)</f>
        <v>768</v>
      </c>
      <c r="J21" s="26">
        <f>ZKKK*F</f>
        <v>22</v>
      </c>
      <c r="K21" s="3">
        <f>ZS*F</f>
        <v>66</v>
      </c>
      <c r="L21" s="3">
        <f>ZB*F</f>
        <v>77</v>
      </c>
      <c r="M21" s="3">
        <f>ZL*F</f>
        <v>88</v>
      </c>
      <c r="N21" s="12">
        <f>ZJJJ</f>
        <v>140</v>
      </c>
      <c r="O21" s="4">
        <f>ZR</f>
        <v>160</v>
      </c>
      <c r="P21" s="4">
        <f>ZT</f>
        <v>160</v>
      </c>
      <c r="Q21" s="4">
        <f>ZCC</f>
        <v>220</v>
      </c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</row>
    <row r="22" spans="1:70" s="1" customFormat="1" ht="21">
      <c r="A22"/>
      <c r="B22" s="4" t="s">
        <v>24</v>
      </c>
      <c r="C22" s="40" t="s">
        <v>123</v>
      </c>
      <c r="D22" s="2" t="s">
        <v>64</v>
      </c>
      <c r="E22" s="44" t="s">
        <v>12</v>
      </c>
      <c r="F22" s="2" t="s">
        <v>178</v>
      </c>
      <c r="G22" s="41" t="str">
        <f t="shared" si="0"/>
        <v>MI</v>
      </c>
      <c r="H22" s="9">
        <f t="shared" si="1"/>
        <v>27</v>
      </c>
      <c r="I22" s="23">
        <f>CEILING(SUM(LARGE(J22:BI22,{1,2,3,4,5})),1)</f>
        <v>1915</v>
      </c>
      <c r="J22" s="26">
        <f>ZM</f>
        <v>595</v>
      </c>
      <c r="K22" s="3">
        <f>ZEE*F</f>
        <v>495.00000000000006</v>
      </c>
      <c r="L22" s="3">
        <f>ZX*F</f>
        <v>429.00000000000006</v>
      </c>
      <c r="M22" s="3">
        <f>ZN*F</f>
        <v>396.00000000000006</v>
      </c>
      <c r="N22" s="12">
        <v>0</v>
      </c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</row>
    <row r="23" spans="1:70" s="1" customFormat="1" ht="21">
      <c r="A23"/>
      <c r="B23" s="4" t="s">
        <v>24</v>
      </c>
      <c r="C23" s="40" t="s">
        <v>151</v>
      </c>
      <c r="D23" s="2" t="s">
        <v>64</v>
      </c>
      <c r="E23" s="44" t="s">
        <v>12</v>
      </c>
      <c r="F23" s="2" t="s">
        <v>161</v>
      </c>
      <c r="G23" s="41" t="str">
        <f t="shared" si="0"/>
        <v>MA</v>
      </c>
      <c r="H23" s="9">
        <f t="shared" si="1"/>
        <v>10</v>
      </c>
      <c r="I23" s="23">
        <f>CEILING(SUM(LARGE(J23:BI23,{1,2,3,4,5})),1)</f>
        <v>2632</v>
      </c>
      <c r="J23" s="26">
        <f>ZV</f>
        <v>575</v>
      </c>
      <c r="K23" s="3">
        <f>ZLLL*F</f>
        <v>583</v>
      </c>
      <c r="L23" s="3">
        <f>ZEE*F</f>
        <v>495.00000000000006</v>
      </c>
      <c r="M23" s="3">
        <f>ZC*F</f>
        <v>407.00000000000006</v>
      </c>
      <c r="N23" s="12">
        <f>ZN*F</f>
        <v>396.00000000000006</v>
      </c>
      <c r="O23" s="4">
        <f>ZT*F</f>
        <v>176</v>
      </c>
      <c r="P23" s="4">
        <f>ZX*F</f>
        <v>429.00000000000006</v>
      </c>
      <c r="Q23" s="4">
        <f>ZZZ*F</f>
        <v>418.00000000000006</v>
      </c>
      <c r="R23" s="4">
        <f>ZFF</f>
        <v>550</v>
      </c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</row>
    <row r="24" spans="1:70" s="1" customFormat="1" ht="21">
      <c r="A24"/>
      <c r="B24" s="4" t="s">
        <v>24</v>
      </c>
      <c r="C24" s="40" t="s">
        <v>132</v>
      </c>
      <c r="D24" s="2" t="s">
        <v>65</v>
      </c>
      <c r="E24" s="44" t="s">
        <v>12</v>
      </c>
      <c r="F24" s="2" t="s">
        <v>171</v>
      </c>
      <c r="G24" s="41" t="str">
        <f t="shared" si="0"/>
        <v>MB</v>
      </c>
      <c r="H24" s="9">
        <f t="shared" si="1"/>
        <v>61</v>
      </c>
      <c r="I24" s="23">
        <f>CEILING(SUM(LARGE(J24:BI24,{1,2,3,4,5})),1)</f>
        <v>0</v>
      </c>
      <c r="J24" s="26">
        <v>0</v>
      </c>
      <c r="K24" s="3">
        <v>0</v>
      </c>
      <c r="L24" s="3">
        <v>0</v>
      </c>
      <c r="M24" s="3">
        <v>0</v>
      </c>
      <c r="N24" s="12">
        <v>0</v>
      </c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</row>
    <row r="25" spans="1:70" s="1" customFormat="1" ht="21">
      <c r="A25"/>
      <c r="B25" s="4" t="s">
        <v>24</v>
      </c>
      <c r="C25" s="40" t="s">
        <v>190</v>
      </c>
      <c r="D25" s="45" t="s">
        <v>65</v>
      </c>
      <c r="E25" s="44" t="s">
        <v>12</v>
      </c>
      <c r="F25" s="46" t="s">
        <v>121</v>
      </c>
      <c r="G25" s="41" t="str">
        <f t="shared" si="0"/>
        <v>MA</v>
      </c>
      <c r="H25" s="9">
        <f t="shared" si="1"/>
        <v>13</v>
      </c>
      <c r="I25" s="23">
        <f>CEILING(SUM(LARGE(J25:BI25,{1,2,3,4,5})),1)</f>
        <v>2453</v>
      </c>
      <c r="J25" s="26">
        <f>ZLLL</f>
        <v>530</v>
      </c>
      <c r="K25" s="3">
        <f>ZE</f>
        <v>510</v>
      </c>
      <c r="L25" s="3">
        <f>ZII</f>
        <v>500</v>
      </c>
      <c r="M25" s="3">
        <f>ZEE</f>
        <v>450</v>
      </c>
      <c r="N25" s="12">
        <f>ZCC*F</f>
        <v>242.00000000000003</v>
      </c>
      <c r="O25" s="4">
        <f>ZP*F</f>
        <v>462.00000000000006</v>
      </c>
      <c r="P25" s="4">
        <f>ZD*F</f>
        <v>451.00000000000006</v>
      </c>
      <c r="Q25" s="4">
        <f>ZX</f>
        <v>390</v>
      </c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</row>
    <row r="26" spans="1:70" s="1" customFormat="1" ht="21">
      <c r="A26"/>
      <c r="B26" s="4" t="s">
        <v>24</v>
      </c>
      <c r="C26" s="4" t="s">
        <v>132</v>
      </c>
      <c r="D26" s="53" t="s">
        <v>67</v>
      </c>
      <c r="E26" s="2" t="s">
        <v>22</v>
      </c>
      <c r="F26" s="47" t="s">
        <v>141</v>
      </c>
      <c r="G26" s="5" t="str">
        <f t="shared" si="0"/>
        <v>WA</v>
      </c>
      <c r="H26" s="9">
        <f t="shared" si="1"/>
        <v>23</v>
      </c>
      <c r="I26" s="23">
        <f>CEILING(SUM(LARGE(J26:BI26,{1,2,3,4,5})),1)</f>
        <v>1987</v>
      </c>
      <c r="J26" s="26">
        <f>ZKK*F</f>
        <v>275</v>
      </c>
      <c r="K26" s="3">
        <f>ZC*F</f>
        <v>407.00000000000006</v>
      </c>
      <c r="L26" s="3">
        <f>ZHH*F</f>
        <v>352</v>
      </c>
      <c r="M26" s="3">
        <f>ZDD</f>
        <v>360</v>
      </c>
      <c r="N26" s="12">
        <f>ZZZ*F</f>
        <v>418.00000000000006</v>
      </c>
      <c r="O26" s="4">
        <f>ZEE</f>
        <v>450</v>
      </c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</row>
    <row r="27" spans="1:70" s="1" customFormat="1" ht="21">
      <c r="A27"/>
      <c r="B27" s="4" t="s">
        <v>24</v>
      </c>
      <c r="C27" s="2" t="s">
        <v>151</v>
      </c>
      <c r="D27" s="2" t="s">
        <v>65</v>
      </c>
      <c r="E27" s="40" t="s">
        <v>12</v>
      </c>
      <c r="F27" s="2" t="s">
        <v>184</v>
      </c>
      <c r="G27" s="41" t="str">
        <f t="shared" si="0"/>
        <v>MI</v>
      </c>
      <c r="H27" s="9">
        <f t="shared" si="1"/>
        <v>25</v>
      </c>
      <c r="I27" s="23">
        <f>CEILING(SUM(LARGE(J27:BI27,{1,2,3,4,5})),1)</f>
        <v>1948</v>
      </c>
      <c r="J27" s="26">
        <f>ZFFF</f>
        <v>320</v>
      </c>
      <c r="K27" s="3">
        <f>ZZZ*F</f>
        <v>418.00000000000006</v>
      </c>
      <c r="L27" s="3">
        <f>ZEE*F</f>
        <v>495.00000000000006</v>
      </c>
      <c r="M27" s="3">
        <f>ZZ*F</f>
        <v>363.00000000000006</v>
      </c>
      <c r="N27" s="12">
        <f>ZHH*F</f>
        <v>352</v>
      </c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</row>
    <row r="28" spans="1:70" s="1" customFormat="1" ht="21">
      <c r="A28"/>
      <c r="B28" s="4" t="s">
        <v>24</v>
      </c>
      <c r="C28" s="4" t="s">
        <v>123</v>
      </c>
      <c r="D28" s="4" t="s">
        <v>65</v>
      </c>
      <c r="E28" s="40" t="s">
        <v>12</v>
      </c>
      <c r="F28" s="46" t="s">
        <v>122</v>
      </c>
      <c r="G28" s="41" t="str">
        <f t="shared" si="0"/>
        <v>MA</v>
      </c>
      <c r="H28" s="9">
        <f t="shared" si="1"/>
        <v>14</v>
      </c>
      <c r="I28" s="23">
        <f>CEILING(SUM(LARGE(J28:BI28,{1,2,3,4,5})),1)</f>
        <v>2447</v>
      </c>
      <c r="J28" s="26">
        <f>ZV</f>
        <v>575</v>
      </c>
      <c r="K28" s="3">
        <f>ZLLL</f>
        <v>530</v>
      </c>
      <c r="L28" s="3">
        <f>ZFF</f>
        <v>550</v>
      </c>
      <c r="M28" s="3">
        <f>ZP*F</f>
        <v>462.00000000000006</v>
      </c>
      <c r="N28" s="12">
        <f>ZZ</f>
        <v>330</v>
      </c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</row>
    <row r="29" spans="1:70" s="1" customFormat="1" ht="21">
      <c r="B29" s="4" t="s">
        <v>24</v>
      </c>
      <c r="C29" s="2" t="s">
        <v>151</v>
      </c>
      <c r="D29" s="2" t="s">
        <v>64</v>
      </c>
      <c r="E29" s="40" t="s">
        <v>12</v>
      </c>
      <c r="F29" s="2" t="s">
        <v>169</v>
      </c>
      <c r="G29" s="41" t="str">
        <f t="shared" si="0"/>
        <v>MA</v>
      </c>
      <c r="H29" s="9">
        <f t="shared" si="1"/>
        <v>6</v>
      </c>
      <c r="I29" s="23">
        <f>CEILING(SUM(LARGE(J29:BI29,{1,2,3,4,5})),1)</f>
        <v>3399</v>
      </c>
      <c r="J29" s="26">
        <f>ZVV*F</f>
        <v>671</v>
      </c>
      <c r="K29" s="3">
        <f>ZUU*F</f>
        <v>759.00000000000011</v>
      </c>
      <c r="L29" s="3">
        <f>ZDDD*F</f>
        <v>693</v>
      </c>
      <c r="M29" s="3">
        <f>ZY*F</f>
        <v>693</v>
      </c>
      <c r="N29" s="12">
        <f>ZLLL*F</f>
        <v>583</v>
      </c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</row>
    <row r="30" spans="1:70" s="1" customFormat="1" ht="21">
      <c r="B30" s="4" t="s">
        <v>24</v>
      </c>
      <c r="C30" s="2" t="s">
        <v>151</v>
      </c>
      <c r="D30" s="2" t="s">
        <v>67</v>
      </c>
      <c r="E30" s="40" t="s">
        <v>22</v>
      </c>
      <c r="F30" s="2" t="s">
        <v>166</v>
      </c>
      <c r="G30" s="41" t="str">
        <f t="shared" si="0"/>
        <v>WB</v>
      </c>
      <c r="H30" s="9">
        <f t="shared" si="1"/>
        <v>59</v>
      </c>
      <c r="I30" s="23">
        <f>CEILING(SUM(LARGE(J30:BI30,{1,2,3,4,5})),1)</f>
        <v>275</v>
      </c>
      <c r="J30" s="26">
        <f>ZKK*F</f>
        <v>275</v>
      </c>
      <c r="K30" s="3">
        <v>0</v>
      </c>
      <c r="L30" s="3">
        <v>0</v>
      </c>
      <c r="M30" s="3">
        <v>0</v>
      </c>
      <c r="N30" s="12">
        <v>0</v>
      </c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</row>
    <row r="31" spans="1:70" s="1" customFormat="1" ht="21">
      <c r="B31" s="4" t="s">
        <v>24</v>
      </c>
      <c r="C31" s="2" t="s">
        <v>132</v>
      </c>
      <c r="D31" s="2" t="s">
        <v>64</v>
      </c>
      <c r="E31" s="40" t="s">
        <v>12</v>
      </c>
      <c r="F31" s="46" t="s">
        <v>138</v>
      </c>
      <c r="G31" s="41" t="str">
        <f t="shared" si="0"/>
        <v>MB</v>
      </c>
      <c r="H31" s="9">
        <f t="shared" si="1"/>
        <v>61</v>
      </c>
      <c r="I31" s="23">
        <f>CEILING(SUM(LARGE(J31:BI31,{1,2,3,4,5})),1)</f>
        <v>0</v>
      </c>
      <c r="J31" s="26">
        <v>0</v>
      </c>
      <c r="K31" s="3">
        <v>0</v>
      </c>
      <c r="L31" s="3">
        <v>0</v>
      </c>
      <c r="M31" s="3">
        <v>0</v>
      </c>
      <c r="N31" s="12">
        <v>0</v>
      </c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</row>
    <row r="32" spans="1:70" s="1" customFormat="1" ht="21">
      <c r="B32" s="4" t="s">
        <v>24</v>
      </c>
      <c r="C32" s="2" t="s">
        <v>119</v>
      </c>
      <c r="D32" s="45" t="s">
        <v>64</v>
      </c>
      <c r="E32" s="2" t="s">
        <v>12</v>
      </c>
      <c r="F32" s="49" t="s">
        <v>118</v>
      </c>
      <c r="G32" s="5" t="str">
        <f t="shared" si="0"/>
        <v>MA</v>
      </c>
      <c r="H32" s="9">
        <f t="shared" si="1"/>
        <v>8</v>
      </c>
      <c r="I32" s="23">
        <f>CEILING(SUM(LARGE(J32:BI32,{1,2,3,4,5})),1)</f>
        <v>3151</v>
      </c>
      <c r="J32" s="26">
        <f>ZUU*F</f>
        <v>759.00000000000011</v>
      </c>
      <c r="K32" s="3">
        <f>ZU*F</f>
        <v>781.00000000000011</v>
      </c>
      <c r="L32" s="3">
        <f>ZVV</f>
        <v>610</v>
      </c>
      <c r="M32" s="3">
        <f>ZLLL*F</f>
        <v>583</v>
      </c>
      <c r="N32" s="12">
        <f>ZLL*F</f>
        <v>418.00000000000006</v>
      </c>
      <c r="O32" s="4">
        <f>ZZZ*F</f>
        <v>418.00000000000006</v>
      </c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</row>
    <row r="33" spans="2:70" s="1" customFormat="1" ht="21">
      <c r="B33" s="4" t="s">
        <v>24</v>
      </c>
      <c r="C33" s="4" t="s">
        <v>127</v>
      </c>
      <c r="D33" s="45" t="s">
        <v>65</v>
      </c>
      <c r="E33" s="2" t="s">
        <v>12</v>
      </c>
      <c r="F33" s="46" t="s">
        <v>124</v>
      </c>
      <c r="G33" s="5" t="str">
        <f t="shared" si="0"/>
        <v>MI</v>
      </c>
      <c r="H33" s="9">
        <f t="shared" si="1"/>
        <v>30</v>
      </c>
      <c r="I33" s="23">
        <f>CEILING(SUM(LARGE(J33:BI33,{1,2,3,4,5})),1)</f>
        <v>1860</v>
      </c>
      <c r="J33" s="26">
        <f>ZFFF</f>
        <v>320</v>
      </c>
      <c r="K33" s="3">
        <f>ZZ*F</f>
        <v>363.00000000000006</v>
      </c>
      <c r="L33" s="3">
        <f>ZDD</f>
        <v>360</v>
      </c>
      <c r="M33" s="3">
        <f>ZC*F</f>
        <v>407.00000000000006</v>
      </c>
      <c r="N33" s="12">
        <f>ZD</f>
        <v>410</v>
      </c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</row>
    <row r="34" spans="2:70" s="1" customFormat="1" ht="21">
      <c r="B34" s="4" t="s">
        <v>24</v>
      </c>
      <c r="C34" s="2" t="s">
        <v>127</v>
      </c>
      <c r="D34" s="45" t="s">
        <v>64</v>
      </c>
      <c r="E34" s="2" t="s">
        <v>12</v>
      </c>
      <c r="F34" s="46" t="s">
        <v>130</v>
      </c>
      <c r="G34" s="5" t="str">
        <f t="shared" si="0"/>
        <v>MA</v>
      </c>
      <c r="H34" s="9">
        <f t="shared" si="1"/>
        <v>5</v>
      </c>
      <c r="I34" s="23">
        <f>CEILING(SUM(LARGE(J34:BI34,{1,2,3,4,5})),1)</f>
        <v>3593</v>
      </c>
      <c r="J34" s="26">
        <f>ZSS*F</f>
        <v>583</v>
      </c>
      <c r="K34" s="3">
        <f>ZMMM*F</f>
        <v>627</v>
      </c>
      <c r="L34" s="3">
        <f>ZM*F</f>
        <v>654.5</v>
      </c>
      <c r="M34" s="3">
        <f>ZQ*F</f>
        <v>660</v>
      </c>
      <c r="N34" s="12">
        <f>ZGGG*F</f>
        <v>671</v>
      </c>
      <c r="O34" s="4">
        <f>ZY</f>
        <v>630</v>
      </c>
      <c r="P34" s="4">
        <f>ZDDD*F</f>
        <v>693</v>
      </c>
      <c r="Q34" s="4">
        <f>ZUU*F</f>
        <v>759.00000000000011</v>
      </c>
      <c r="R34" s="4">
        <f>ZHHH</f>
        <v>720</v>
      </c>
      <c r="S34" s="4">
        <f>ZW</f>
        <v>750</v>
      </c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</row>
    <row r="35" spans="2:70" s="1" customFormat="1" ht="21">
      <c r="B35" s="4" t="s">
        <v>24</v>
      </c>
      <c r="C35" s="2" t="s">
        <v>151</v>
      </c>
      <c r="D35" s="2" t="s">
        <v>67</v>
      </c>
      <c r="E35" s="2" t="s">
        <v>22</v>
      </c>
      <c r="F35" s="2" t="s">
        <v>157</v>
      </c>
      <c r="G35" s="5" t="str">
        <f t="shared" si="0"/>
        <v>WI</v>
      </c>
      <c r="H35" s="9">
        <f t="shared" si="1"/>
        <v>32</v>
      </c>
      <c r="I35" s="23">
        <f>CEILING(SUM(LARGE(J35:BI35,{1,2,3,4,5})),1)</f>
        <v>1811</v>
      </c>
      <c r="J35" s="26">
        <f>ZT*F</f>
        <v>176</v>
      </c>
      <c r="K35" s="3">
        <f>ZH*F</f>
        <v>209.00000000000003</v>
      </c>
      <c r="L35" s="3">
        <f>ZN</f>
        <v>360</v>
      </c>
      <c r="M35" s="3">
        <f>ZC*F</f>
        <v>407.00000000000006</v>
      </c>
      <c r="N35" s="12">
        <f>ZCCC*F</f>
        <v>319</v>
      </c>
      <c r="O35" s="4">
        <f>ZEE</f>
        <v>450</v>
      </c>
      <c r="P35" s="4">
        <f>ZKK*F</f>
        <v>275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</row>
    <row r="36" spans="2:70" s="1" customFormat="1" ht="21">
      <c r="B36" s="4" t="s">
        <v>24</v>
      </c>
      <c r="C36" s="4" t="s">
        <v>180</v>
      </c>
      <c r="D36" s="45" t="s">
        <v>68</v>
      </c>
      <c r="E36" s="2" t="s">
        <v>22</v>
      </c>
      <c r="F36" s="46" t="s">
        <v>179</v>
      </c>
      <c r="G36" s="5" t="str">
        <f t="shared" si="0"/>
        <v>WI</v>
      </c>
      <c r="H36" s="9">
        <f t="shared" ref="H36:H67" si="2">RANK(I36,$I$4:$I$100,0)</f>
        <v>40</v>
      </c>
      <c r="I36" s="23">
        <f>CEILING(SUM(LARGE(J36:BI36,{1,2,3,4,5})),1)</f>
        <v>1506</v>
      </c>
      <c r="J36" s="26">
        <f>ZEE</f>
        <v>450</v>
      </c>
      <c r="K36" s="3">
        <f>ZCCC*F</f>
        <v>319</v>
      </c>
      <c r="L36" s="3">
        <f>ZKK*F</f>
        <v>275</v>
      </c>
      <c r="M36" s="3">
        <f>ZA*F</f>
        <v>220.00000000000003</v>
      </c>
      <c r="N36" s="12">
        <f>ZCC*F</f>
        <v>242.00000000000003</v>
      </c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</row>
    <row r="37" spans="2:70" s="1" customFormat="1" ht="21">
      <c r="B37" s="4" t="s">
        <v>24</v>
      </c>
      <c r="C37" s="2" t="s">
        <v>132</v>
      </c>
      <c r="D37" s="2" t="s">
        <v>68</v>
      </c>
      <c r="E37" s="2" t="s">
        <v>22</v>
      </c>
      <c r="F37" s="2" t="s">
        <v>149</v>
      </c>
      <c r="G37" s="5" t="str">
        <f t="shared" si="0"/>
        <v>WI</v>
      </c>
      <c r="H37" s="9">
        <f t="shared" si="2"/>
        <v>34</v>
      </c>
      <c r="I37" s="23">
        <f>CEILING(SUM(LARGE(J37:BI37,{1,2,3,4,5})),1)</f>
        <v>1768</v>
      </c>
      <c r="J37" s="26">
        <f>ZYY*F</f>
        <v>286</v>
      </c>
      <c r="K37" s="3">
        <f>ZCCC*F</f>
        <v>319</v>
      </c>
      <c r="L37" s="3">
        <f>ZDD*F</f>
        <v>396.00000000000006</v>
      </c>
      <c r="M37" s="3">
        <f>ZC*F</f>
        <v>407.00000000000006</v>
      </c>
      <c r="N37" s="12">
        <f>ZN</f>
        <v>360</v>
      </c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</row>
    <row r="38" spans="2:70" s="1" customFormat="1" ht="21">
      <c r="B38" s="4" t="s">
        <v>24</v>
      </c>
      <c r="C38" s="2" t="s">
        <v>151</v>
      </c>
      <c r="D38" s="2" t="s">
        <v>64</v>
      </c>
      <c r="E38" s="2" t="s">
        <v>12</v>
      </c>
      <c r="F38" s="2" t="s">
        <v>176</v>
      </c>
      <c r="G38" s="5" t="str">
        <f t="shared" si="0"/>
        <v>MI</v>
      </c>
      <c r="H38" s="9">
        <f t="shared" si="2"/>
        <v>45</v>
      </c>
      <c r="I38" s="23">
        <f>CEILING(SUM(LARGE(J38:BI38,{1,2,3,4,5})),1)</f>
        <v>1405</v>
      </c>
      <c r="J38" s="26">
        <f>ZKK</f>
        <v>250</v>
      </c>
      <c r="K38" s="3">
        <f>ZHH*F</f>
        <v>352</v>
      </c>
      <c r="L38" s="3">
        <f>ZN*F</f>
        <v>396.00000000000006</v>
      </c>
      <c r="M38" s="3">
        <f>ZC*F</f>
        <v>407.00000000000006</v>
      </c>
      <c r="N38" s="12">
        <v>0</v>
      </c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</row>
    <row r="39" spans="2:70" s="1" customFormat="1" ht="21">
      <c r="B39" s="4" t="s">
        <v>24</v>
      </c>
      <c r="C39" s="4" t="s">
        <v>132</v>
      </c>
      <c r="D39" s="4" t="s">
        <v>69</v>
      </c>
      <c r="E39" s="2" t="s">
        <v>22</v>
      </c>
      <c r="F39" s="46" t="s">
        <v>133</v>
      </c>
      <c r="G39" s="5" t="str">
        <f t="shared" si="0"/>
        <v>WB</v>
      </c>
      <c r="H39" s="9">
        <f t="shared" si="2"/>
        <v>57</v>
      </c>
      <c r="I39" s="23">
        <f>CEILING(SUM(LARGE(J39:BI39,{1,2,3,4,5})),1)</f>
        <v>418</v>
      </c>
      <c r="J39" s="26">
        <f>ZGG*F</f>
        <v>55.000000000000007</v>
      </c>
      <c r="K39" s="3">
        <f>ZS*F</f>
        <v>66</v>
      </c>
      <c r="L39" s="3">
        <f>ZB*F</f>
        <v>77</v>
      </c>
      <c r="M39" s="3">
        <f>ZL</f>
        <v>80</v>
      </c>
      <c r="N39" s="12">
        <f>ZJJJ</f>
        <v>140</v>
      </c>
      <c r="O39" s="4">
        <f>ZBBB*F</f>
        <v>33</v>
      </c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</row>
    <row r="40" spans="2:70" s="1" customFormat="1" ht="21">
      <c r="B40" s="4" t="s">
        <v>24</v>
      </c>
      <c r="C40" s="2" t="s">
        <v>151</v>
      </c>
      <c r="D40" s="2" t="s">
        <v>64</v>
      </c>
      <c r="E40" s="2" t="s">
        <v>12</v>
      </c>
      <c r="F40" s="2" t="s">
        <v>164</v>
      </c>
      <c r="G40" s="5" t="str">
        <f t="shared" si="0"/>
        <v>MI</v>
      </c>
      <c r="H40" s="9">
        <f t="shared" si="2"/>
        <v>24</v>
      </c>
      <c r="I40" s="23">
        <f>CEILING(SUM(LARGE(J40:BI40,{1,2,3,4,5})),1)</f>
        <v>1982</v>
      </c>
      <c r="J40" s="26">
        <f>ZR*F</f>
        <v>176</v>
      </c>
      <c r="K40" s="3">
        <f>ZT*F</f>
        <v>176</v>
      </c>
      <c r="L40" s="3">
        <f>ZC*F</f>
        <v>407.00000000000006</v>
      </c>
      <c r="M40" s="3">
        <f>ZD*F</f>
        <v>451.00000000000006</v>
      </c>
      <c r="N40" s="12">
        <f>ZP</f>
        <v>420</v>
      </c>
      <c r="O40" s="4">
        <f>ZZZ*F</f>
        <v>418.00000000000006</v>
      </c>
      <c r="P40" s="4">
        <f>ZYY*F</f>
        <v>286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</row>
    <row r="41" spans="2:70" s="1" customFormat="1" ht="21">
      <c r="B41" s="4" t="s">
        <v>24</v>
      </c>
      <c r="C41" s="4" t="s">
        <v>127</v>
      </c>
      <c r="D41" s="45" t="s">
        <v>65</v>
      </c>
      <c r="E41" s="2" t="s">
        <v>12</v>
      </c>
      <c r="F41" s="46" t="s">
        <v>189</v>
      </c>
      <c r="G41" s="5" t="s">
        <v>66</v>
      </c>
      <c r="H41" s="9">
        <f t="shared" si="2"/>
        <v>26</v>
      </c>
      <c r="I41" s="23">
        <f>CEILING(SUM(LARGE(J41:BI41,{1,2,3,4,5})),1)</f>
        <v>1947</v>
      </c>
      <c r="J41" s="26">
        <f>ZN</f>
        <v>360</v>
      </c>
      <c r="K41" s="3">
        <f>ZC*F</f>
        <v>407.00000000000006</v>
      </c>
      <c r="L41" s="3">
        <f>ZZZ</f>
        <v>380</v>
      </c>
      <c r="M41" s="3">
        <f>ZX</f>
        <v>390</v>
      </c>
      <c r="N41" s="12">
        <f>ZD</f>
        <v>410</v>
      </c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</row>
    <row r="42" spans="2:70" s="1" customFormat="1" ht="21">
      <c r="B42" s="4" t="s">
        <v>24</v>
      </c>
      <c r="C42" s="2" t="s">
        <v>151</v>
      </c>
      <c r="D42" s="2" t="s">
        <v>66</v>
      </c>
      <c r="E42" s="2" t="s">
        <v>12</v>
      </c>
      <c r="F42" s="2" t="s">
        <v>181</v>
      </c>
      <c r="G42" s="5" t="str">
        <f t="shared" ref="G42:G73" si="3">IF(E42=M,IF(I42&lt;=MBP,MB,IF(I42&lt;=MIP,MI,MA)),IF(E42=W,IF(I42&lt;=WBP,WB,IF(I42&lt;=WIP,WI,WA))))</f>
        <v>MI</v>
      </c>
      <c r="H42" s="9">
        <f t="shared" si="2"/>
        <v>44</v>
      </c>
      <c r="I42" s="23">
        <f>CEILING(SUM(LARGE(J42:BI42,{1,2,3,4,5})),1)</f>
        <v>1441</v>
      </c>
      <c r="J42" s="26">
        <f>ZA*F</f>
        <v>220.00000000000003</v>
      </c>
      <c r="K42" s="3">
        <f>ZKK*F</f>
        <v>275</v>
      </c>
      <c r="L42" s="3">
        <f>ZCCC*F</f>
        <v>319</v>
      </c>
      <c r="M42" s="3">
        <f>ZJ*F</f>
        <v>297</v>
      </c>
      <c r="N42" s="12">
        <f>ZZ</f>
        <v>330</v>
      </c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</row>
    <row r="43" spans="2:70" s="1" customFormat="1" ht="21">
      <c r="B43" s="4" t="s">
        <v>24</v>
      </c>
      <c r="C43" s="2" t="s">
        <v>132</v>
      </c>
      <c r="D43" s="2" t="s">
        <v>64</v>
      </c>
      <c r="E43" s="2" t="s">
        <v>12</v>
      </c>
      <c r="F43" s="2" t="s">
        <v>156</v>
      </c>
      <c r="G43" s="5" t="str">
        <f t="shared" si="3"/>
        <v>MA</v>
      </c>
      <c r="H43" s="9">
        <f t="shared" si="2"/>
        <v>7</v>
      </c>
      <c r="I43" s="23">
        <f>CEILING(SUM(LARGE(J43:BI43,{1,2,3,4,5})),1)</f>
        <v>3194</v>
      </c>
      <c r="J43" s="26">
        <f>ZPP*F</f>
        <v>528</v>
      </c>
      <c r="K43" s="3">
        <f>ZSS*F</f>
        <v>583</v>
      </c>
      <c r="L43" s="3">
        <f>ZVV</f>
        <v>610</v>
      </c>
      <c r="M43" s="3">
        <f>ZDDD*F</f>
        <v>693</v>
      </c>
      <c r="N43" s="12">
        <f>ZRR</f>
        <v>780</v>
      </c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</row>
    <row r="44" spans="2:70" s="1" customFormat="1" ht="21">
      <c r="B44" s="4" t="s">
        <v>24</v>
      </c>
      <c r="C44" s="2" t="s">
        <v>151</v>
      </c>
      <c r="D44" s="2" t="s">
        <v>68</v>
      </c>
      <c r="E44" s="2" t="s">
        <v>22</v>
      </c>
      <c r="F44" s="2" t="s">
        <v>158</v>
      </c>
      <c r="G44" s="5" t="str">
        <f t="shared" si="3"/>
        <v>WI</v>
      </c>
      <c r="H44" s="9">
        <f t="shared" si="2"/>
        <v>39</v>
      </c>
      <c r="I44" s="23">
        <f>CEILING(SUM(LARGE(J44:BI44,{1,2,3,4,5})),1)</f>
        <v>1518</v>
      </c>
      <c r="J44" s="26">
        <f>ZKK*F</f>
        <v>275</v>
      </c>
      <c r="K44" s="3">
        <f>ZYY*F</f>
        <v>286</v>
      </c>
      <c r="L44" s="3">
        <f>ZJ*F</f>
        <v>297</v>
      </c>
      <c r="M44" s="3">
        <f>ZCCC</f>
        <v>290</v>
      </c>
      <c r="N44" s="12">
        <f>ZC</f>
        <v>370</v>
      </c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</row>
    <row r="45" spans="2:70" s="1" customFormat="1" ht="21">
      <c r="B45" s="4" t="s">
        <v>24</v>
      </c>
      <c r="C45" s="2" t="s">
        <v>151</v>
      </c>
      <c r="D45" s="2" t="s">
        <v>64</v>
      </c>
      <c r="E45" s="2" t="s">
        <v>12</v>
      </c>
      <c r="F45" s="2" t="s">
        <v>177</v>
      </c>
      <c r="G45" s="5" t="str">
        <f t="shared" si="3"/>
        <v>MA</v>
      </c>
      <c r="H45" s="9">
        <f t="shared" si="2"/>
        <v>4</v>
      </c>
      <c r="I45" s="23">
        <f>CEILING(SUM(LARGE(J45:BI45,{1,2,3,4,5})),1)</f>
        <v>3770</v>
      </c>
      <c r="J45" s="26">
        <f>ZU</f>
        <v>710</v>
      </c>
      <c r="K45" s="3">
        <f>ZHHH</f>
        <v>720</v>
      </c>
      <c r="L45" s="3">
        <f>ZW</f>
        <v>750</v>
      </c>
      <c r="M45" s="3">
        <f>ZRR</f>
        <v>780</v>
      </c>
      <c r="N45" s="12">
        <f>ZQQ</f>
        <v>810</v>
      </c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</row>
    <row r="46" spans="2:70" s="1" customFormat="1" ht="21">
      <c r="B46" s="4" t="s">
        <v>24</v>
      </c>
      <c r="C46" s="2" t="s">
        <v>132</v>
      </c>
      <c r="D46" s="45" t="s">
        <v>64</v>
      </c>
      <c r="E46" s="2" t="s">
        <v>12</v>
      </c>
      <c r="F46" s="46" t="s">
        <v>135</v>
      </c>
      <c r="G46" s="5" t="str">
        <f t="shared" si="3"/>
        <v>MB</v>
      </c>
      <c r="H46" s="9">
        <f t="shared" si="2"/>
        <v>61</v>
      </c>
      <c r="I46" s="23">
        <f>CEILING(SUM(LARGE(J46:BI46,{1,2,3,4,5})),1)</f>
        <v>0</v>
      </c>
      <c r="J46" s="26">
        <v>0</v>
      </c>
      <c r="K46" s="3">
        <v>0</v>
      </c>
      <c r="L46" s="3">
        <v>0</v>
      </c>
      <c r="M46" s="3">
        <v>0</v>
      </c>
      <c r="N46" s="12">
        <v>0</v>
      </c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</row>
    <row r="47" spans="2:70" s="1" customFormat="1" ht="21">
      <c r="B47" s="4" t="s">
        <v>24</v>
      </c>
      <c r="C47" s="2" t="s">
        <v>132</v>
      </c>
      <c r="D47" s="2" t="s">
        <v>69</v>
      </c>
      <c r="E47" s="2" t="s">
        <v>22</v>
      </c>
      <c r="F47" s="2" t="s">
        <v>148</v>
      </c>
      <c r="G47" s="5" t="str">
        <f t="shared" si="3"/>
        <v>WI</v>
      </c>
      <c r="H47" s="9">
        <f t="shared" si="2"/>
        <v>51</v>
      </c>
      <c r="I47" s="23">
        <f>CEILING(SUM(LARGE(J47:BI47,{1,2,3,4,5})),1)</f>
        <v>1023</v>
      </c>
      <c r="J47" s="26">
        <f>ZS*F</f>
        <v>66</v>
      </c>
      <c r="K47" s="3">
        <f>ZJJJ*F</f>
        <v>154</v>
      </c>
      <c r="L47" s="3">
        <f>ZT*F</f>
        <v>176</v>
      </c>
      <c r="M47" s="3">
        <f>ZKK*F</f>
        <v>275</v>
      </c>
      <c r="N47" s="12">
        <f>ZCC*F</f>
        <v>242.00000000000003</v>
      </c>
      <c r="O47" s="4">
        <f>ZR*F</f>
        <v>176</v>
      </c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</row>
    <row r="48" spans="2:70" s="1" customFormat="1" ht="21">
      <c r="B48" s="4" t="s">
        <v>24</v>
      </c>
      <c r="C48" s="2" t="s">
        <v>132</v>
      </c>
      <c r="D48" s="2" t="s">
        <v>65</v>
      </c>
      <c r="E48" s="2" t="s">
        <v>12</v>
      </c>
      <c r="F48" s="2" t="s">
        <v>146</v>
      </c>
      <c r="G48" s="5" t="str">
        <f t="shared" si="3"/>
        <v>MB</v>
      </c>
      <c r="H48" s="9">
        <f t="shared" si="2"/>
        <v>56</v>
      </c>
      <c r="I48" s="23">
        <f>CEILING(SUM(LARGE(J48:BI48,{1,2,3,4,5})),1)</f>
        <v>627</v>
      </c>
      <c r="J48" s="26">
        <f>ZA*F</f>
        <v>220.00000000000003</v>
      </c>
      <c r="K48" s="3">
        <f>ZC*F</f>
        <v>407.00000000000006</v>
      </c>
      <c r="L48" s="3">
        <v>0</v>
      </c>
      <c r="M48" s="3">
        <v>0</v>
      </c>
      <c r="N48" s="12">
        <v>0</v>
      </c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</row>
    <row r="49" spans="2:70" s="1" customFormat="1" ht="21">
      <c r="B49" s="4" t="s">
        <v>24</v>
      </c>
      <c r="C49" s="2" t="s">
        <v>132</v>
      </c>
      <c r="D49" s="2" t="s">
        <v>68</v>
      </c>
      <c r="E49" s="2" t="s">
        <v>22</v>
      </c>
      <c r="F49" s="2" t="s">
        <v>147</v>
      </c>
      <c r="G49" s="5" t="str">
        <f t="shared" si="3"/>
        <v>WI</v>
      </c>
      <c r="H49" s="9">
        <f t="shared" si="2"/>
        <v>41</v>
      </c>
      <c r="I49" s="23">
        <f>CEILING(SUM(LARGE(J49:BI49,{1,2,3,4,5})),1)</f>
        <v>1487</v>
      </c>
      <c r="J49" s="26">
        <f>ZNN*F</f>
        <v>198.00000000000003</v>
      </c>
      <c r="K49" s="3">
        <f>ZH</f>
        <v>190</v>
      </c>
      <c r="L49" s="3">
        <f>ZA</f>
        <v>200</v>
      </c>
      <c r="M49" s="3">
        <f>ZKK*F</f>
        <v>275</v>
      </c>
      <c r="N49" s="12">
        <f>ZCCC*F</f>
        <v>319</v>
      </c>
      <c r="O49" s="4">
        <f>ZEE*F</f>
        <v>495.00000000000006</v>
      </c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</row>
    <row r="50" spans="2:70" s="1" customFormat="1" ht="21">
      <c r="B50" s="4" t="s">
        <v>24</v>
      </c>
      <c r="C50" s="2" t="s">
        <v>117</v>
      </c>
      <c r="D50" s="2" t="s">
        <v>64</v>
      </c>
      <c r="E50" s="2" t="s">
        <v>12</v>
      </c>
      <c r="F50" s="2" t="s">
        <v>154</v>
      </c>
      <c r="G50" s="5" t="str">
        <f t="shared" si="3"/>
        <v>MI</v>
      </c>
      <c r="H50" s="9">
        <f t="shared" si="2"/>
        <v>37</v>
      </c>
      <c r="I50" s="23">
        <f>CEILING(SUM(LARGE(J50:BI50,{1,2,3,4,5})),1)</f>
        <v>1615</v>
      </c>
      <c r="J50" s="26">
        <f>ZCCC*F</f>
        <v>319</v>
      </c>
      <c r="K50" s="3">
        <f>ZC</f>
        <v>370</v>
      </c>
      <c r="L50" s="3">
        <f>ZP</f>
        <v>420</v>
      </c>
      <c r="M50" s="3">
        <f>ZYY*F</f>
        <v>286</v>
      </c>
      <c r="N50" s="12">
        <f>ZA*F</f>
        <v>220.00000000000003</v>
      </c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</row>
    <row r="51" spans="2:70" s="1" customFormat="1" ht="21">
      <c r="B51" s="4" t="s">
        <v>24</v>
      </c>
      <c r="C51" s="2" t="s">
        <v>132</v>
      </c>
      <c r="D51" s="2" t="s">
        <v>65</v>
      </c>
      <c r="E51" s="2" t="s">
        <v>12</v>
      </c>
      <c r="F51" s="2" t="s">
        <v>174</v>
      </c>
      <c r="G51" s="5" t="str">
        <f t="shared" si="3"/>
        <v>MA</v>
      </c>
      <c r="H51" s="9">
        <f t="shared" si="2"/>
        <v>15</v>
      </c>
      <c r="I51" s="23">
        <f>CEILING(SUM(LARGE(J51:BI51,{1,2,3,4,5})),1)</f>
        <v>2435</v>
      </c>
      <c r="J51" s="26">
        <f>ZT*F</f>
        <v>176</v>
      </c>
      <c r="K51" s="3">
        <f>ZKK*F</f>
        <v>275</v>
      </c>
      <c r="L51" s="3">
        <f>ZEE</f>
        <v>450</v>
      </c>
      <c r="M51" s="3">
        <f>ZII</f>
        <v>500</v>
      </c>
      <c r="N51" s="12">
        <f>ZLLL</f>
        <v>530</v>
      </c>
      <c r="O51" s="4">
        <f>ZFF*F</f>
        <v>605</v>
      </c>
      <c r="P51" s="4">
        <f>ZJJ</f>
        <v>350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</row>
    <row r="52" spans="2:70" s="1" customFormat="1" ht="21">
      <c r="B52" s="4" t="s">
        <v>24</v>
      </c>
      <c r="C52" s="2" t="s">
        <v>132</v>
      </c>
      <c r="D52" s="2" t="s">
        <v>69</v>
      </c>
      <c r="E52" s="2" t="s">
        <v>22</v>
      </c>
      <c r="F52" s="2" t="s">
        <v>172</v>
      </c>
      <c r="G52" s="5" t="str">
        <f t="shared" si="3"/>
        <v>WI</v>
      </c>
      <c r="H52" s="9">
        <f t="shared" si="2"/>
        <v>53</v>
      </c>
      <c r="I52" s="23">
        <f>CEILING(SUM(LARGE(J52:BI52,{1,2,3,4,5})),1)</f>
        <v>979</v>
      </c>
      <c r="J52" s="26">
        <f>ZJJJ*F</f>
        <v>154</v>
      </c>
      <c r="K52" s="3">
        <f>ZR*F</f>
        <v>176</v>
      </c>
      <c r="L52" s="3">
        <f>ZT*F</f>
        <v>176</v>
      </c>
      <c r="M52" s="3">
        <f>ZNN*F</f>
        <v>198.00000000000003</v>
      </c>
      <c r="N52" s="12">
        <f>ZKK*F</f>
        <v>275</v>
      </c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</row>
    <row r="53" spans="2:70" s="1" customFormat="1" ht="21">
      <c r="B53" s="4" t="s">
        <v>24</v>
      </c>
      <c r="C53" s="4" t="s">
        <v>127</v>
      </c>
      <c r="D53" s="45" t="s">
        <v>64</v>
      </c>
      <c r="E53" s="2" t="s">
        <v>12</v>
      </c>
      <c r="F53" s="46" t="s">
        <v>126</v>
      </c>
      <c r="G53" s="5" t="str">
        <f t="shared" si="3"/>
        <v>MA</v>
      </c>
      <c r="H53" s="9">
        <f t="shared" si="2"/>
        <v>1</v>
      </c>
      <c r="I53" s="23">
        <f>CEILING(SUM(LARGE(J53:BI53,{1,2,3,4,5})),1)</f>
        <v>4466</v>
      </c>
      <c r="J53" s="26">
        <f>ZG*F</f>
        <v>836.00000000000011</v>
      </c>
      <c r="K53" s="3">
        <f>ZRR*F</f>
        <v>858.00000000000011</v>
      </c>
      <c r="L53" s="3">
        <f>ZQQ*F</f>
        <v>891.00000000000011</v>
      </c>
      <c r="M53" s="3">
        <f>ZO*F</f>
        <v>913.00000000000011</v>
      </c>
      <c r="N53" s="12">
        <f>ZXX*F</f>
        <v>968.00000000000011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</row>
    <row r="54" spans="2:70" s="1" customFormat="1" ht="21">
      <c r="B54" s="4" t="s">
        <v>24</v>
      </c>
      <c r="C54" s="2" t="s">
        <v>151</v>
      </c>
      <c r="D54" s="2" t="s">
        <v>64</v>
      </c>
      <c r="E54" s="2" t="s">
        <v>12</v>
      </c>
      <c r="F54" s="2" t="s">
        <v>160</v>
      </c>
      <c r="G54" s="5" t="str">
        <f t="shared" si="3"/>
        <v>MA</v>
      </c>
      <c r="H54" s="9">
        <f t="shared" si="2"/>
        <v>9</v>
      </c>
      <c r="I54" s="23">
        <f>CEILING(SUM(LARGE(J54:BI54,{1,2,3,4,5})),1)</f>
        <v>3084</v>
      </c>
      <c r="J54" s="26">
        <f>ZT*F</f>
        <v>176</v>
      </c>
      <c r="K54" s="3">
        <f>ZA*F</f>
        <v>220.00000000000003</v>
      </c>
      <c r="L54" s="3">
        <f>ZCC*F</f>
        <v>242.00000000000003</v>
      </c>
      <c r="M54" s="3">
        <f>ZEE*F</f>
        <v>495.00000000000006</v>
      </c>
      <c r="N54" s="12">
        <f>ZLLL*F</f>
        <v>583</v>
      </c>
      <c r="O54" s="4">
        <f>ZVV*F</f>
        <v>671</v>
      </c>
      <c r="P54" s="4">
        <f>ZDDD</f>
        <v>630</v>
      </c>
      <c r="Q54" s="4">
        <f>ZUU</f>
        <v>690</v>
      </c>
      <c r="R54" s="4">
        <f>ZJJ</f>
        <v>350</v>
      </c>
      <c r="S54" s="4">
        <f>ZN*F</f>
        <v>396.00000000000006</v>
      </c>
      <c r="T54" s="4">
        <f>ZP*F</f>
        <v>462.00000000000006</v>
      </c>
      <c r="U54" s="4">
        <f>ZII</f>
        <v>500</v>
      </c>
      <c r="V54" s="4">
        <f>ZE</f>
        <v>510</v>
      </c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</row>
    <row r="55" spans="2:70" s="1" customFormat="1" ht="21">
      <c r="B55" s="4" t="s">
        <v>24</v>
      </c>
      <c r="C55" s="2" t="s">
        <v>90</v>
      </c>
      <c r="D55" s="2" t="s">
        <v>67</v>
      </c>
      <c r="E55" s="2" t="s">
        <v>22</v>
      </c>
      <c r="F55" s="2" t="s">
        <v>152</v>
      </c>
      <c r="G55" s="5" t="str">
        <f t="shared" si="3"/>
        <v>WI</v>
      </c>
      <c r="H55" s="9">
        <f t="shared" si="2"/>
        <v>31</v>
      </c>
      <c r="I55" s="23">
        <f>CEILING(SUM(LARGE(J55:BI55,{1,2,3,4,5})),1)</f>
        <v>1812</v>
      </c>
      <c r="J55" s="26">
        <f>ZJJJ*F</f>
        <v>154</v>
      </c>
      <c r="K55" s="3">
        <f>ZCCC*F</f>
        <v>319</v>
      </c>
      <c r="L55" s="3">
        <f>ZHH*F</f>
        <v>352</v>
      </c>
      <c r="M55" s="3">
        <f>ZZ*F</f>
        <v>363.00000000000006</v>
      </c>
      <c r="N55" s="12">
        <f>ZCCC*F</f>
        <v>319</v>
      </c>
      <c r="O55" s="4">
        <f>ZZ</f>
        <v>330</v>
      </c>
      <c r="P55" s="4">
        <f>ZDD</f>
        <v>360</v>
      </c>
      <c r="Q55" s="4">
        <f>ZC*F</f>
        <v>407.00000000000006</v>
      </c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</row>
    <row r="56" spans="2:70" s="1" customFormat="1" ht="21">
      <c r="B56" s="4" t="s">
        <v>24</v>
      </c>
      <c r="C56" s="2" t="s">
        <v>151</v>
      </c>
      <c r="D56" s="2" t="s">
        <v>65</v>
      </c>
      <c r="E56" s="2" t="s">
        <v>12</v>
      </c>
      <c r="F56" s="2" t="s">
        <v>170</v>
      </c>
      <c r="G56" s="5" t="str">
        <f t="shared" si="3"/>
        <v>MB</v>
      </c>
      <c r="H56" s="9">
        <f t="shared" si="2"/>
        <v>48</v>
      </c>
      <c r="I56" s="23">
        <f>CEILING(SUM(LARGE(J56:BI56,{1,2,3,4,5})),1)</f>
        <v>1200</v>
      </c>
      <c r="J56" s="26">
        <f>ZMM*F</f>
        <v>99.000000000000014</v>
      </c>
      <c r="K56" s="3">
        <f>ZHH</f>
        <v>320</v>
      </c>
      <c r="L56" s="3">
        <f>ZZ*F</f>
        <v>363.00000000000006</v>
      </c>
      <c r="M56" s="3">
        <f>ZZZ*F</f>
        <v>418.00000000000006</v>
      </c>
      <c r="N56" s="12">
        <v>0</v>
      </c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</row>
    <row r="57" spans="2:70" s="1" customFormat="1" ht="21">
      <c r="B57" s="4" t="s">
        <v>24</v>
      </c>
      <c r="C57" s="4" t="s">
        <v>132</v>
      </c>
      <c r="D57" s="45" t="s">
        <v>65</v>
      </c>
      <c r="E57" s="2" t="s">
        <v>12</v>
      </c>
      <c r="F57" s="46" t="s">
        <v>136</v>
      </c>
      <c r="G57" s="5" t="str">
        <f t="shared" si="3"/>
        <v>MI</v>
      </c>
      <c r="H57" s="9">
        <f t="shared" si="2"/>
        <v>18</v>
      </c>
      <c r="I57" s="23">
        <f>CEILING(SUM(LARGE(J57:BI57,{1,2,3,4,5})),1)</f>
        <v>2166</v>
      </c>
      <c r="J57" s="26">
        <f>ZZ*F</f>
        <v>363.00000000000006</v>
      </c>
      <c r="K57" s="3">
        <f>ZN</f>
        <v>360</v>
      </c>
      <c r="L57" s="3">
        <f>ZDD*F</f>
        <v>396.00000000000006</v>
      </c>
      <c r="M57" s="3">
        <f>ZC*F</f>
        <v>407.00000000000006</v>
      </c>
      <c r="N57" s="12">
        <f>ZD*F</f>
        <v>451.00000000000006</v>
      </c>
      <c r="O57" s="4">
        <f>ZP*F</f>
        <v>462.00000000000006</v>
      </c>
      <c r="P57" s="4">
        <f>ZEE</f>
        <v>450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</row>
    <row r="58" spans="2:70" s="1" customFormat="1" ht="21">
      <c r="B58" s="4" t="s">
        <v>24</v>
      </c>
      <c r="C58" s="2" t="s">
        <v>151</v>
      </c>
      <c r="D58" s="2" t="s">
        <v>68</v>
      </c>
      <c r="E58" s="2" t="s">
        <v>22</v>
      </c>
      <c r="F58" s="2" t="s">
        <v>165</v>
      </c>
      <c r="G58" s="5" t="str">
        <f t="shared" si="3"/>
        <v>WI</v>
      </c>
      <c r="H58" s="9">
        <f t="shared" si="2"/>
        <v>50</v>
      </c>
      <c r="I58" s="23">
        <f>CEILING(SUM(LARGE(J58:BI58,{1,2,3,4,5})),1)</f>
        <v>1119</v>
      </c>
      <c r="J58" s="26">
        <f>ZB*F</f>
        <v>77</v>
      </c>
      <c r="K58" s="3">
        <f>ZT*F</f>
        <v>176</v>
      </c>
      <c r="L58" s="3">
        <f>ZKK*F</f>
        <v>275</v>
      </c>
      <c r="M58" s="3">
        <f>ZYY*F</f>
        <v>286</v>
      </c>
      <c r="N58" s="12">
        <f>ZCC*F</f>
        <v>242.00000000000003</v>
      </c>
      <c r="O58" s="4">
        <f>ZJJJ</f>
        <v>140</v>
      </c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</row>
    <row r="59" spans="2:70" s="1" customFormat="1" ht="21">
      <c r="B59" s="4" t="s">
        <v>24</v>
      </c>
      <c r="C59" s="2" t="s">
        <v>132</v>
      </c>
      <c r="D59" s="2" t="s">
        <v>69</v>
      </c>
      <c r="E59" s="2" t="s">
        <v>22</v>
      </c>
      <c r="F59" s="2" t="s">
        <v>173</v>
      </c>
      <c r="G59" s="5" t="str">
        <f t="shared" si="3"/>
        <v>WB</v>
      </c>
      <c r="H59" s="9">
        <f t="shared" si="2"/>
        <v>60</v>
      </c>
      <c r="I59" s="23">
        <f>CEILING(SUM(LARGE(J59:BI59,{1,2,3,4,5})),1)</f>
        <v>137</v>
      </c>
      <c r="J59" s="26">
        <f>ZKKK*F</f>
        <v>22</v>
      </c>
      <c r="K59" s="3">
        <f>ZS</f>
        <v>60</v>
      </c>
      <c r="L59" s="3">
        <f>ZGG*F</f>
        <v>55.000000000000007</v>
      </c>
      <c r="M59" s="3">
        <v>0</v>
      </c>
      <c r="N59" s="12">
        <v>0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</row>
    <row r="60" spans="2:70" s="1" customFormat="1" ht="21">
      <c r="B60" s="4" t="s">
        <v>24</v>
      </c>
      <c r="C60" s="2" t="s">
        <v>151</v>
      </c>
      <c r="D60" s="2" t="s">
        <v>68</v>
      </c>
      <c r="E60" s="2" t="s">
        <v>22</v>
      </c>
      <c r="F60" s="2" t="s">
        <v>162</v>
      </c>
      <c r="G60" s="5" t="str">
        <f t="shared" si="3"/>
        <v>WI</v>
      </c>
      <c r="H60" s="9">
        <f t="shared" si="2"/>
        <v>43</v>
      </c>
      <c r="I60" s="23">
        <f>CEILING(SUM(LARGE(J60:BI60,{1,2,3,4,5})),1)</f>
        <v>1442</v>
      </c>
      <c r="J60" s="26">
        <f>ZHH</f>
        <v>320</v>
      </c>
      <c r="K60" s="3">
        <f>ZCCC*F</f>
        <v>319</v>
      </c>
      <c r="L60" s="3">
        <f>ZYY*F</f>
        <v>286</v>
      </c>
      <c r="M60" s="3">
        <f>ZKK*F</f>
        <v>275</v>
      </c>
      <c r="N60" s="12">
        <f>ZCC*F</f>
        <v>242.00000000000003</v>
      </c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</row>
    <row r="61" spans="2:70" s="1" customFormat="1" ht="21">
      <c r="B61" s="4" t="s">
        <v>24</v>
      </c>
      <c r="C61" s="2" t="s">
        <v>132</v>
      </c>
      <c r="D61" s="45" t="s">
        <v>68</v>
      </c>
      <c r="E61" s="2" t="s">
        <v>22</v>
      </c>
      <c r="F61" s="46" t="s">
        <v>139</v>
      </c>
      <c r="G61" s="5" t="str">
        <f t="shared" si="3"/>
        <v>WI</v>
      </c>
      <c r="H61" s="9">
        <f t="shared" si="2"/>
        <v>29</v>
      </c>
      <c r="I61" s="23">
        <f>CEILING(SUM(LARGE(J61:BI61,{1,2,3,4,5})),1)</f>
        <v>1866</v>
      </c>
      <c r="J61" s="26">
        <f>ZHH*F</f>
        <v>352</v>
      </c>
      <c r="K61" s="3">
        <f>ZEE*F</f>
        <v>495.00000000000006</v>
      </c>
      <c r="L61" s="3">
        <f>ZKK*F</f>
        <v>275</v>
      </c>
      <c r="M61" s="3">
        <f>ZC</f>
        <v>370</v>
      </c>
      <c r="N61" s="12">
        <f>ZZ</f>
        <v>330</v>
      </c>
      <c r="O61" s="4">
        <f>ZCCC*F</f>
        <v>319</v>
      </c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</row>
    <row r="62" spans="2:70" s="1" customFormat="1" ht="21">
      <c r="B62" s="4" t="s">
        <v>24</v>
      </c>
      <c r="C62" s="4" t="s">
        <v>132</v>
      </c>
      <c r="D62" s="45" t="s">
        <v>66</v>
      </c>
      <c r="E62" s="2" t="s">
        <v>12</v>
      </c>
      <c r="F62" s="46" t="s">
        <v>134</v>
      </c>
      <c r="G62" s="5" t="str">
        <f t="shared" si="3"/>
        <v>MB</v>
      </c>
      <c r="H62" s="9">
        <f t="shared" si="2"/>
        <v>47</v>
      </c>
      <c r="I62" s="23">
        <f>CEILING(SUM(LARGE(J62:BI62,{1,2,3,4,5})),1)</f>
        <v>1212</v>
      </c>
      <c r="J62" s="26">
        <f>ZCC*F</f>
        <v>242.00000000000003</v>
      </c>
      <c r="K62" s="3">
        <f>ZYY*F</f>
        <v>286</v>
      </c>
      <c r="L62" s="3">
        <f>ZKK*F</f>
        <v>275</v>
      </c>
      <c r="M62" s="3">
        <f>ZA</f>
        <v>200</v>
      </c>
      <c r="N62" s="12">
        <f>ZNN*F</f>
        <v>198.00000000000003</v>
      </c>
      <c r="O62" s="4">
        <f>ZH*F</f>
        <v>209.00000000000003</v>
      </c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</row>
    <row r="63" spans="2:70" s="1" customFormat="1" ht="21">
      <c r="B63" s="4" t="s">
        <v>24</v>
      </c>
      <c r="C63" s="4" t="s">
        <v>127</v>
      </c>
      <c r="D63" s="45" t="s">
        <v>69</v>
      </c>
      <c r="E63" s="2" t="s">
        <v>22</v>
      </c>
      <c r="F63" s="46" t="s">
        <v>128</v>
      </c>
      <c r="G63" s="5" t="str">
        <f t="shared" si="3"/>
        <v>WI</v>
      </c>
      <c r="H63" s="9">
        <f t="shared" si="2"/>
        <v>54</v>
      </c>
      <c r="I63" s="23">
        <f>CEILING(SUM(LARGE(J63:BI63,{1,2,3,4,5})),1)</f>
        <v>876</v>
      </c>
      <c r="J63" s="26">
        <f>ZKKK*F</f>
        <v>22</v>
      </c>
      <c r="K63" s="3">
        <f>ZBBB*F</f>
        <v>33</v>
      </c>
      <c r="L63" s="3">
        <f>ZGG*F</f>
        <v>55.000000000000007</v>
      </c>
      <c r="M63" s="3">
        <f>ZS*F</f>
        <v>66</v>
      </c>
      <c r="N63" s="12">
        <f>ZB*F</f>
        <v>77</v>
      </c>
      <c r="O63" s="4">
        <f>ZL*F</f>
        <v>88</v>
      </c>
      <c r="P63" s="4">
        <f>ZMM*F</f>
        <v>99.000000000000014</v>
      </c>
      <c r="Q63" s="4">
        <f>ZJJJ*F</f>
        <v>154</v>
      </c>
      <c r="R63" s="4">
        <f>ZR*F</f>
        <v>176</v>
      </c>
      <c r="S63" s="4">
        <f>ZT*F</f>
        <v>176</v>
      </c>
      <c r="T63" s="4">
        <f>ZNN</f>
        <v>180</v>
      </c>
      <c r="U63" s="4">
        <f>ZH</f>
        <v>190</v>
      </c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</row>
    <row r="64" spans="2:70" s="1" customFormat="1" ht="21">
      <c r="B64" s="4" t="s">
        <v>24</v>
      </c>
      <c r="C64" s="4" t="s">
        <v>132</v>
      </c>
      <c r="D64" s="4" t="s">
        <v>65</v>
      </c>
      <c r="E64" s="2" t="s">
        <v>12</v>
      </c>
      <c r="F64" s="2" t="s">
        <v>143</v>
      </c>
      <c r="G64" s="5" t="str">
        <f t="shared" si="3"/>
        <v>MI</v>
      </c>
      <c r="H64" s="9">
        <f t="shared" si="2"/>
        <v>22</v>
      </c>
      <c r="I64" s="23">
        <f>CEILING(SUM(LARGE(J64:BI64,{1,2,3,4,5})),1)</f>
        <v>1993</v>
      </c>
      <c r="J64" s="26">
        <f>ZCCC*F</f>
        <v>319</v>
      </c>
      <c r="K64" s="3">
        <f>ZC*F</f>
        <v>407.00000000000006</v>
      </c>
      <c r="L64" s="3">
        <f>ZX*F</f>
        <v>429.00000000000006</v>
      </c>
      <c r="M64" s="3">
        <f>ZKKK*F</f>
        <v>22</v>
      </c>
      <c r="N64" s="12">
        <f>ZP</f>
        <v>420</v>
      </c>
      <c r="O64" s="4">
        <f>ZZZ*F</f>
        <v>418.00000000000006</v>
      </c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</row>
    <row r="65" spans="2:70" s="1" customFormat="1" ht="21">
      <c r="B65" s="4" t="s">
        <v>24</v>
      </c>
      <c r="C65" s="2" t="s">
        <v>151</v>
      </c>
      <c r="D65" s="2" t="s">
        <v>64</v>
      </c>
      <c r="E65" s="2" t="s">
        <v>12</v>
      </c>
      <c r="F65" s="2" t="s">
        <v>182</v>
      </c>
      <c r="G65" s="5" t="str">
        <f t="shared" si="3"/>
        <v>MI</v>
      </c>
      <c r="H65" s="9">
        <f t="shared" si="2"/>
        <v>38</v>
      </c>
      <c r="I65" s="23">
        <f>CEILING(SUM(LARGE(J65:BI65,{1,2,3,4,5})),1)</f>
        <v>1524</v>
      </c>
      <c r="J65" s="26">
        <f>ZQQ*F</f>
        <v>891.00000000000011</v>
      </c>
      <c r="K65" s="3">
        <f>ZV*F</f>
        <v>632.5</v>
      </c>
      <c r="L65" s="3">
        <v>0</v>
      </c>
      <c r="M65" s="3">
        <v>0</v>
      </c>
      <c r="N65" s="12">
        <v>0</v>
      </c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</row>
    <row r="66" spans="2:70" s="1" customFormat="1" ht="21">
      <c r="B66" s="4" t="s">
        <v>24</v>
      </c>
      <c r="C66" s="2" t="s">
        <v>151</v>
      </c>
      <c r="D66" s="2" t="s">
        <v>64</v>
      </c>
      <c r="E66" s="2" t="s">
        <v>12</v>
      </c>
      <c r="F66" s="2" t="s">
        <v>150</v>
      </c>
      <c r="G66" s="5" t="str">
        <f t="shared" si="3"/>
        <v>MA</v>
      </c>
      <c r="H66" s="9">
        <f t="shared" si="2"/>
        <v>16</v>
      </c>
      <c r="I66" s="23">
        <f>CEILING(SUM(LARGE(J66:BI66,{1,2,3,4,5})),1)</f>
        <v>2227</v>
      </c>
      <c r="J66" s="26">
        <f>ZLLL*F</f>
        <v>583</v>
      </c>
      <c r="K66" s="3">
        <f>ZVV</f>
        <v>610</v>
      </c>
      <c r="L66" s="3">
        <f>ZFF*F</f>
        <v>605</v>
      </c>
      <c r="M66" s="3">
        <f>ZX*F</f>
        <v>429.00000000000006</v>
      </c>
      <c r="N66" s="12">
        <v>0</v>
      </c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</row>
    <row r="67" spans="2:70" s="1" customFormat="1" ht="21">
      <c r="B67" s="4" t="s">
        <v>24</v>
      </c>
      <c r="C67" s="2" t="s">
        <v>132</v>
      </c>
      <c r="D67" s="2" t="s">
        <v>64</v>
      </c>
      <c r="E67" s="2" t="s">
        <v>12</v>
      </c>
      <c r="F67" s="2" t="s">
        <v>145</v>
      </c>
      <c r="G67" s="5" t="str">
        <f t="shared" si="3"/>
        <v>MB</v>
      </c>
      <c r="H67" s="9">
        <f t="shared" si="2"/>
        <v>61</v>
      </c>
      <c r="I67" s="23">
        <f>CEILING(SUM(LARGE(J67:BI67,{1,2,3,4,5})),1)</f>
        <v>0</v>
      </c>
      <c r="J67" s="26">
        <v>0</v>
      </c>
      <c r="K67" s="3">
        <v>0</v>
      </c>
      <c r="L67" s="3">
        <v>0</v>
      </c>
      <c r="M67" s="3">
        <v>0</v>
      </c>
      <c r="N67" s="12">
        <v>0</v>
      </c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</row>
    <row r="68" spans="2:70" s="1" customFormat="1" ht="21">
      <c r="B68" s="4" t="s">
        <v>24</v>
      </c>
      <c r="C68" s="2" t="s">
        <v>132</v>
      </c>
      <c r="D68" s="2" t="s">
        <v>67</v>
      </c>
      <c r="E68" s="2" t="s">
        <v>22</v>
      </c>
      <c r="F68" s="46" t="s">
        <v>137</v>
      </c>
      <c r="G68" s="5" t="str">
        <f t="shared" si="3"/>
        <v>WA</v>
      </c>
      <c r="H68" s="9">
        <f t="shared" ref="H68:H99" si="4">RANK(I68,$I$4:$I$100,0)</f>
        <v>2</v>
      </c>
      <c r="I68" s="23">
        <f>CEILING(SUM(LARGE(J68:BI68,{1,2,3,4,5})),1)</f>
        <v>3780</v>
      </c>
      <c r="J68" s="26">
        <f>ZUU*F</f>
        <v>759.00000000000011</v>
      </c>
      <c r="K68" s="24">
        <f>ZAA</f>
        <v>700</v>
      </c>
      <c r="L68" s="3">
        <f>ZU*F</f>
        <v>781.00000000000011</v>
      </c>
      <c r="M68" s="3">
        <f>ZG</f>
        <v>760</v>
      </c>
      <c r="N68" s="12">
        <f>ZRR</f>
        <v>780</v>
      </c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</row>
    <row r="69" spans="2:70" s="1" customFormat="1" ht="21">
      <c r="B69" s="4" t="s">
        <v>24</v>
      </c>
      <c r="C69" s="2" t="s">
        <v>186</v>
      </c>
      <c r="D69" s="2" t="s">
        <v>65</v>
      </c>
      <c r="E69" s="2" t="s">
        <v>12</v>
      </c>
      <c r="F69" s="2" t="s">
        <v>185</v>
      </c>
      <c r="G69" s="5" t="str">
        <f t="shared" si="3"/>
        <v>MI</v>
      </c>
      <c r="H69" s="9">
        <f t="shared" si="4"/>
        <v>35</v>
      </c>
      <c r="I69" s="23">
        <f>CEILING(SUM(LARGE(J69:BI69,{1,2,3,4,5})),1)</f>
        <v>1694</v>
      </c>
      <c r="J69" s="31">
        <f>ZCCC*F</f>
        <v>319</v>
      </c>
      <c r="K69" s="3">
        <f>ZN*F</f>
        <v>396.00000000000006</v>
      </c>
      <c r="L69" s="3">
        <f>ZZZ*F</f>
        <v>418.00000000000006</v>
      </c>
      <c r="M69" s="3">
        <f>ZKK*F</f>
        <v>275</v>
      </c>
      <c r="N69" s="12">
        <f>ZT*F</f>
        <v>176</v>
      </c>
      <c r="O69" s="4">
        <f>ZYY*F</f>
        <v>286</v>
      </c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</row>
    <row r="70" spans="2:70" s="1" customFormat="1" ht="21">
      <c r="B70" s="4"/>
      <c r="C70" s="2"/>
      <c r="D70" s="2"/>
      <c r="E70" s="2"/>
      <c r="F70" s="2"/>
      <c r="G70" s="5" t="b">
        <f t="shared" si="3"/>
        <v>0</v>
      </c>
      <c r="H70" s="9">
        <f t="shared" si="4"/>
        <v>61</v>
      </c>
      <c r="I70" s="23">
        <f>CEILING(SUM(LARGE(J70:BI70,{1,2,3,4,5})),1)</f>
        <v>0</v>
      </c>
      <c r="J70" s="26">
        <v>0</v>
      </c>
      <c r="K70" s="3">
        <v>0</v>
      </c>
      <c r="L70" s="3">
        <v>0</v>
      </c>
      <c r="M70" s="3">
        <v>0</v>
      </c>
      <c r="N70" s="12">
        <v>0</v>
      </c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</row>
    <row r="71" spans="2:70" s="1" customFormat="1" ht="21">
      <c r="B71" s="4"/>
      <c r="C71" s="2"/>
      <c r="D71" s="2"/>
      <c r="E71" s="2"/>
      <c r="F71" s="2"/>
      <c r="G71" s="5" t="b">
        <f t="shared" si="3"/>
        <v>0</v>
      </c>
      <c r="H71" s="9">
        <f t="shared" si="4"/>
        <v>61</v>
      </c>
      <c r="I71" s="23">
        <f>CEILING(SUM(LARGE(J71:BI71,{1,2,3,4,5})),1)</f>
        <v>0</v>
      </c>
      <c r="J71" s="26">
        <v>0</v>
      </c>
      <c r="K71" s="3">
        <v>0</v>
      </c>
      <c r="L71" s="3">
        <v>0</v>
      </c>
      <c r="M71" s="3">
        <v>0</v>
      </c>
      <c r="N71" s="12">
        <v>0</v>
      </c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</row>
    <row r="72" spans="2:70" s="1" customFormat="1" ht="21">
      <c r="B72" s="4"/>
      <c r="C72" s="2"/>
      <c r="D72" s="2"/>
      <c r="E72" s="2"/>
      <c r="F72" s="2"/>
      <c r="G72" s="5" t="b">
        <f t="shared" si="3"/>
        <v>0</v>
      </c>
      <c r="H72" s="9">
        <f t="shared" si="4"/>
        <v>61</v>
      </c>
      <c r="I72" s="23">
        <f>CEILING(SUM(LARGE(J72:BI72,{1,2,3,4,5})),1)</f>
        <v>0</v>
      </c>
      <c r="J72" s="26">
        <v>0</v>
      </c>
      <c r="K72" s="24">
        <v>0</v>
      </c>
      <c r="L72" s="3">
        <v>0</v>
      </c>
      <c r="M72" s="3">
        <v>0</v>
      </c>
      <c r="N72" s="12">
        <v>0</v>
      </c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</row>
    <row r="73" spans="2:70" s="1" customFormat="1" ht="21">
      <c r="B73" s="4"/>
      <c r="C73" s="2"/>
      <c r="D73" s="2"/>
      <c r="E73" s="2"/>
      <c r="F73" s="2"/>
      <c r="G73" s="5" t="b">
        <f t="shared" si="3"/>
        <v>0</v>
      </c>
      <c r="H73" s="9">
        <f t="shared" si="4"/>
        <v>61</v>
      </c>
      <c r="I73" s="23">
        <f>CEILING(SUM(LARGE(J73:BI73,{1,2,3,4,5})),1)</f>
        <v>0</v>
      </c>
      <c r="J73" s="26">
        <v>0</v>
      </c>
      <c r="K73" s="24">
        <v>0</v>
      </c>
      <c r="L73" s="3">
        <v>0</v>
      </c>
      <c r="M73" s="3">
        <v>0</v>
      </c>
      <c r="N73" s="12">
        <v>0</v>
      </c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</row>
    <row r="74" spans="2:70" s="1" customFormat="1" ht="21">
      <c r="B74" s="4"/>
      <c r="C74" s="2"/>
      <c r="D74" s="2"/>
      <c r="E74" s="2"/>
      <c r="F74" s="2"/>
      <c r="G74" s="5" t="b">
        <f t="shared" ref="G74:G100" si="5">IF(E74=M,IF(I74&lt;=MBP,MB,IF(I74&lt;=MIP,MI,MA)),IF(E74=W,IF(I74&lt;=WBP,WB,IF(I74&lt;=WIP,WI,WA))))</f>
        <v>0</v>
      </c>
      <c r="H74" s="9">
        <f t="shared" si="4"/>
        <v>61</v>
      </c>
      <c r="I74" s="23">
        <f>CEILING(SUM(LARGE(J74:BI74,{1,2,3,4,5})),1)</f>
        <v>0</v>
      </c>
      <c r="J74" s="26">
        <v>0</v>
      </c>
      <c r="K74" s="24">
        <v>0</v>
      </c>
      <c r="L74" s="3">
        <v>0</v>
      </c>
      <c r="M74" s="3">
        <v>0</v>
      </c>
      <c r="N74" s="12">
        <v>0</v>
      </c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</row>
    <row r="75" spans="2:70" s="1" customFormat="1" ht="21">
      <c r="B75" s="4"/>
      <c r="C75" s="2"/>
      <c r="D75" s="2"/>
      <c r="E75" s="2"/>
      <c r="F75" s="2"/>
      <c r="G75" s="5" t="b">
        <f t="shared" si="5"/>
        <v>0</v>
      </c>
      <c r="H75" s="9">
        <f t="shared" si="4"/>
        <v>61</v>
      </c>
      <c r="I75" s="23">
        <f>CEILING(SUM(LARGE(J75:BI75,{1,2,3,4,5})),1)</f>
        <v>0</v>
      </c>
      <c r="J75" s="27">
        <v>0</v>
      </c>
      <c r="K75" s="24">
        <v>0</v>
      </c>
      <c r="L75" s="3">
        <v>0</v>
      </c>
      <c r="M75" s="3">
        <v>0</v>
      </c>
      <c r="N75" s="12">
        <v>0</v>
      </c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</row>
    <row r="76" spans="2:70" s="1" customFormat="1" ht="21">
      <c r="B76" s="4"/>
      <c r="C76" s="2"/>
      <c r="D76" s="2"/>
      <c r="E76" s="2"/>
      <c r="F76" s="2"/>
      <c r="G76" s="5" t="b">
        <f t="shared" si="5"/>
        <v>0</v>
      </c>
      <c r="H76" s="9">
        <f t="shared" si="4"/>
        <v>61</v>
      </c>
      <c r="I76" s="28">
        <f>CEILING(SUM(LARGE(J76:BI76,{1,2,3,4,5})),1)</f>
        <v>0</v>
      </c>
      <c r="J76" s="26">
        <v>0</v>
      </c>
      <c r="K76" s="24">
        <v>0</v>
      </c>
      <c r="L76" s="3">
        <v>0</v>
      </c>
      <c r="M76" s="3">
        <v>0</v>
      </c>
      <c r="N76" s="12">
        <v>0</v>
      </c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</row>
    <row r="77" spans="2:70" s="1" customFormat="1" ht="21">
      <c r="B77" s="4"/>
      <c r="C77" s="2"/>
      <c r="D77" s="2"/>
      <c r="E77" s="2"/>
      <c r="F77" s="2"/>
      <c r="G77" s="5" t="b">
        <f t="shared" si="5"/>
        <v>0</v>
      </c>
      <c r="H77" s="9">
        <f t="shared" si="4"/>
        <v>61</v>
      </c>
      <c r="I77" s="23">
        <f>CEILING(SUM(LARGE(J77:BI77,{1,2,3,4,5})),1)</f>
        <v>0</v>
      </c>
      <c r="J77" s="31">
        <v>0</v>
      </c>
      <c r="K77" s="24">
        <v>0</v>
      </c>
      <c r="L77" s="3">
        <v>0</v>
      </c>
      <c r="M77" s="3">
        <v>0</v>
      </c>
      <c r="N77" s="12">
        <v>0</v>
      </c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</row>
    <row r="78" spans="2:70" s="1" customFormat="1" ht="21">
      <c r="B78" s="4"/>
      <c r="C78" s="2"/>
      <c r="D78" s="2"/>
      <c r="E78" s="2"/>
      <c r="F78" s="2"/>
      <c r="G78" s="5" t="b">
        <f t="shared" si="5"/>
        <v>0</v>
      </c>
      <c r="H78" s="9">
        <f t="shared" si="4"/>
        <v>61</v>
      </c>
      <c r="I78" s="23">
        <f>CEILING(SUM(LARGE(J78:BI78,{1,2,3,4,5})),1)</f>
        <v>0</v>
      </c>
      <c r="J78" s="26">
        <v>0</v>
      </c>
      <c r="K78" s="24">
        <v>0</v>
      </c>
      <c r="L78" s="3">
        <v>0</v>
      </c>
      <c r="M78" s="3">
        <v>0</v>
      </c>
      <c r="N78" s="12">
        <v>0</v>
      </c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</row>
    <row r="79" spans="2:70" s="1" customFormat="1" ht="21">
      <c r="B79" s="4"/>
      <c r="C79" s="2"/>
      <c r="D79" s="2"/>
      <c r="E79" s="2"/>
      <c r="F79" s="2"/>
      <c r="G79" s="5" t="b">
        <f t="shared" si="5"/>
        <v>0</v>
      </c>
      <c r="H79" s="9">
        <f t="shared" si="4"/>
        <v>61</v>
      </c>
      <c r="I79" s="23">
        <f>CEILING(SUM(LARGE(J79:BI79,{1,2,3,4,5})),1)</f>
        <v>0</v>
      </c>
      <c r="J79" s="26">
        <v>0</v>
      </c>
      <c r="K79" s="24">
        <v>0</v>
      </c>
      <c r="L79" s="3">
        <v>0</v>
      </c>
      <c r="M79" s="3">
        <v>0</v>
      </c>
      <c r="N79" s="12">
        <v>0</v>
      </c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</row>
    <row r="80" spans="2:70" s="1" customFormat="1" ht="21">
      <c r="B80" s="4"/>
      <c r="C80" s="2"/>
      <c r="D80" s="2"/>
      <c r="E80" s="2"/>
      <c r="F80" s="2"/>
      <c r="G80" s="5" t="b">
        <f t="shared" si="5"/>
        <v>0</v>
      </c>
      <c r="H80" s="9">
        <f t="shared" si="4"/>
        <v>61</v>
      </c>
      <c r="I80" s="23">
        <f>CEILING(SUM(LARGE(J80:BI80,{1,2,3,4,5})),1)</f>
        <v>0</v>
      </c>
      <c r="J80" s="26">
        <v>0</v>
      </c>
      <c r="K80" s="24">
        <v>0</v>
      </c>
      <c r="L80" s="3">
        <v>0</v>
      </c>
      <c r="M80" s="3">
        <v>0</v>
      </c>
      <c r="N80" s="12">
        <v>0</v>
      </c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</row>
    <row r="81" spans="2:70" s="1" customFormat="1" ht="21">
      <c r="B81" s="4"/>
      <c r="C81" s="2"/>
      <c r="D81" s="2"/>
      <c r="E81" s="2"/>
      <c r="F81" s="2"/>
      <c r="G81" s="5" t="b">
        <f t="shared" si="5"/>
        <v>0</v>
      </c>
      <c r="H81" s="9">
        <f t="shared" si="4"/>
        <v>61</v>
      </c>
      <c r="I81" s="23">
        <f>CEILING(SUM(LARGE(J81:BI81,{1,2,3,4,5})),1)</f>
        <v>0</v>
      </c>
      <c r="J81" s="26">
        <v>0</v>
      </c>
      <c r="K81" s="24">
        <v>0</v>
      </c>
      <c r="L81" s="3">
        <v>0</v>
      </c>
      <c r="M81" s="3">
        <v>0</v>
      </c>
      <c r="N81" s="12">
        <v>0</v>
      </c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</row>
    <row r="82" spans="2:70" s="1" customFormat="1" ht="21">
      <c r="B82" s="4"/>
      <c r="C82" s="2"/>
      <c r="D82" s="2"/>
      <c r="E82" s="2"/>
      <c r="F82" s="2"/>
      <c r="G82" s="5" t="b">
        <f t="shared" si="5"/>
        <v>0</v>
      </c>
      <c r="H82" s="9">
        <f t="shared" si="4"/>
        <v>61</v>
      </c>
      <c r="I82" s="23">
        <f>CEILING(SUM(LARGE(J82:BI82,{1,2,3,4,5})),1)</f>
        <v>0</v>
      </c>
      <c r="J82" s="26">
        <v>0</v>
      </c>
      <c r="K82" s="24">
        <v>0</v>
      </c>
      <c r="L82" s="3">
        <v>0</v>
      </c>
      <c r="M82" s="3">
        <v>0</v>
      </c>
      <c r="N82" s="12">
        <v>0</v>
      </c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</row>
    <row r="83" spans="2:70" s="1" customFormat="1" ht="21">
      <c r="B83" s="4"/>
      <c r="C83" s="2"/>
      <c r="D83" s="2"/>
      <c r="E83" s="2"/>
      <c r="F83" s="2"/>
      <c r="G83" s="5" t="b">
        <f t="shared" si="5"/>
        <v>0</v>
      </c>
      <c r="H83" s="9">
        <f t="shared" si="4"/>
        <v>61</v>
      </c>
      <c r="I83" s="23">
        <f>CEILING(SUM(LARGE(J83:BI83,{1,2,3,4,5})),1)</f>
        <v>0</v>
      </c>
      <c r="J83" s="26">
        <v>0</v>
      </c>
      <c r="K83" s="24">
        <v>0</v>
      </c>
      <c r="L83" s="3">
        <v>0</v>
      </c>
      <c r="M83" s="3">
        <v>0</v>
      </c>
      <c r="N83" s="12">
        <v>0</v>
      </c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</row>
    <row r="84" spans="2:70" s="1" customFormat="1" ht="21">
      <c r="B84" s="4"/>
      <c r="C84" s="2"/>
      <c r="D84" s="2"/>
      <c r="E84" s="2"/>
      <c r="F84" s="2"/>
      <c r="G84" s="5" t="b">
        <f t="shared" si="5"/>
        <v>0</v>
      </c>
      <c r="H84" s="9">
        <f t="shared" si="4"/>
        <v>61</v>
      </c>
      <c r="I84" s="23">
        <f>CEILING(SUM(LARGE(J84:BI84,{1,2,3,4,5})),1)</f>
        <v>0</v>
      </c>
      <c r="J84" s="26">
        <v>0</v>
      </c>
      <c r="K84" s="24">
        <v>0</v>
      </c>
      <c r="L84" s="3">
        <v>0</v>
      </c>
      <c r="M84" s="3">
        <v>0</v>
      </c>
      <c r="N84" s="12">
        <v>0</v>
      </c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</row>
    <row r="85" spans="2:70" s="1" customFormat="1" ht="21">
      <c r="B85" s="4"/>
      <c r="C85" s="2"/>
      <c r="D85" s="2"/>
      <c r="E85" s="2"/>
      <c r="F85" s="2"/>
      <c r="G85" s="5" t="b">
        <f t="shared" si="5"/>
        <v>0</v>
      </c>
      <c r="H85" s="9">
        <f t="shared" si="4"/>
        <v>61</v>
      </c>
      <c r="I85" s="23">
        <f>CEILING(SUM(LARGE(J85:BI85,{1,2,3,4,5})),1)</f>
        <v>0</v>
      </c>
      <c r="J85" s="26">
        <v>0</v>
      </c>
      <c r="K85" s="24">
        <v>0</v>
      </c>
      <c r="L85" s="3">
        <v>0</v>
      </c>
      <c r="M85" s="3">
        <v>0</v>
      </c>
      <c r="N85" s="12">
        <v>0</v>
      </c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</row>
    <row r="86" spans="2:70" s="1" customFormat="1" ht="21">
      <c r="B86" s="4"/>
      <c r="C86" s="2"/>
      <c r="D86" s="2"/>
      <c r="E86" s="2"/>
      <c r="F86" s="2"/>
      <c r="G86" s="5" t="b">
        <f t="shared" si="5"/>
        <v>0</v>
      </c>
      <c r="H86" s="9">
        <f t="shared" si="4"/>
        <v>61</v>
      </c>
      <c r="I86" s="23">
        <f>CEILING(SUM(LARGE(J86:BI86,{1,2,3,4,5})),1)</f>
        <v>0</v>
      </c>
      <c r="J86" s="26">
        <v>0</v>
      </c>
      <c r="K86" s="24">
        <v>0</v>
      </c>
      <c r="L86" s="3">
        <v>0</v>
      </c>
      <c r="M86" s="3">
        <v>0</v>
      </c>
      <c r="N86" s="12">
        <v>0</v>
      </c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</row>
    <row r="87" spans="2:70" s="1" customFormat="1" ht="21">
      <c r="B87" s="4"/>
      <c r="C87" s="2"/>
      <c r="D87" s="2"/>
      <c r="E87" s="2"/>
      <c r="F87" s="2"/>
      <c r="G87" s="5" t="b">
        <f t="shared" si="5"/>
        <v>0</v>
      </c>
      <c r="H87" s="9">
        <f t="shared" si="4"/>
        <v>61</v>
      </c>
      <c r="I87" s="23">
        <f>CEILING(SUM(LARGE(J87:BI87,{1,2,3,4,5})),1)</f>
        <v>0</v>
      </c>
      <c r="J87" s="26">
        <v>0</v>
      </c>
      <c r="K87" s="24">
        <v>0</v>
      </c>
      <c r="L87" s="3">
        <v>0</v>
      </c>
      <c r="M87" s="3">
        <v>0</v>
      </c>
      <c r="N87" s="12">
        <v>0</v>
      </c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</row>
    <row r="88" spans="2:70" s="1" customFormat="1" ht="21">
      <c r="B88" s="4"/>
      <c r="C88" s="2"/>
      <c r="D88" s="2"/>
      <c r="E88" s="2"/>
      <c r="F88" s="2"/>
      <c r="G88" s="5" t="b">
        <f t="shared" si="5"/>
        <v>0</v>
      </c>
      <c r="H88" s="9">
        <f t="shared" si="4"/>
        <v>61</v>
      </c>
      <c r="I88" s="23">
        <f>CEILING(SUM(LARGE(J88:BI88,{1,2,3,4,5})),1)</f>
        <v>0</v>
      </c>
      <c r="J88" s="26">
        <v>0</v>
      </c>
      <c r="K88" s="24">
        <v>0</v>
      </c>
      <c r="L88" s="3">
        <v>0</v>
      </c>
      <c r="M88" s="3">
        <v>0</v>
      </c>
      <c r="N88" s="12">
        <v>0</v>
      </c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</row>
    <row r="89" spans="2:70" s="1" customFormat="1" ht="21">
      <c r="B89" s="4"/>
      <c r="C89" s="2"/>
      <c r="D89" s="2"/>
      <c r="E89" s="2"/>
      <c r="F89" s="2"/>
      <c r="G89" s="5" t="b">
        <f t="shared" si="5"/>
        <v>0</v>
      </c>
      <c r="H89" s="9">
        <f t="shared" si="4"/>
        <v>61</v>
      </c>
      <c r="I89" s="23">
        <f>CEILING(SUM(LARGE(J89:BI89,{1,2,3,4,5})),1)</f>
        <v>0</v>
      </c>
      <c r="J89" s="26">
        <v>0</v>
      </c>
      <c r="K89" s="24">
        <v>0</v>
      </c>
      <c r="L89" s="3">
        <v>0</v>
      </c>
      <c r="M89" s="3">
        <v>0</v>
      </c>
      <c r="N89" s="12">
        <v>0</v>
      </c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</row>
    <row r="90" spans="2:70" s="1" customFormat="1" ht="21">
      <c r="B90" s="4"/>
      <c r="C90" s="2"/>
      <c r="D90" s="2"/>
      <c r="E90" s="2"/>
      <c r="F90" s="2"/>
      <c r="G90" s="5" t="b">
        <f t="shared" si="5"/>
        <v>0</v>
      </c>
      <c r="H90" s="9">
        <f t="shared" si="4"/>
        <v>61</v>
      </c>
      <c r="I90" s="23">
        <f>CEILING(SUM(LARGE(J90:BI90,{1,2,3,4,5})),1)</f>
        <v>0</v>
      </c>
      <c r="J90" s="26">
        <v>0</v>
      </c>
      <c r="K90" s="24">
        <v>0</v>
      </c>
      <c r="L90" s="3">
        <v>0</v>
      </c>
      <c r="M90" s="3">
        <v>0</v>
      </c>
      <c r="N90" s="12">
        <v>0</v>
      </c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</row>
    <row r="91" spans="2:70" s="1" customFormat="1" ht="21">
      <c r="B91" s="4"/>
      <c r="C91" s="2"/>
      <c r="D91" s="2"/>
      <c r="E91" s="2"/>
      <c r="F91" s="2"/>
      <c r="G91" s="5" t="b">
        <f t="shared" si="5"/>
        <v>0</v>
      </c>
      <c r="H91" s="9">
        <f t="shared" si="4"/>
        <v>61</v>
      </c>
      <c r="I91" s="23">
        <f>CEILING(SUM(LARGE(J91:BI91,{1,2,3,4,5})),1)</f>
        <v>0</v>
      </c>
      <c r="J91" s="26">
        <v>0</v>
      </c>
      <c r="K91" s="24">
        <v>0</v>
      </c>
      <c r="L91" s="3">
        <v>0</v>
      </c>
      <c r="M91" s="3">
        <v>0</v>
      </c>
      <c r="N91" s="12">
        <v>0</v>
      </c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</row>
    <row r="92" spans="2:70" s="1" customFormat="1" ht="21">
      <c r="B92" s="4"/>
      <c r="C92" s="2"/>
      <c r="D92" s="2"/>
      <c r="E92" s="2"/>
      <c r="F92" s="2"/>
      <c r="G92" s="5" t="b">
        <f t="shared" si="5"/>
        <v>0</v>
      </c>
      <c r="H92" s="9">
        <f t="shared" si="4"/>
        <v>61</v>
      </c>
      <c r="I92" s="23">
        <f>CEILING(SUM(LARGE(J92:BI92,{1,2,3,4,5})),1)</f>
        <v>0</v>
      </c>
      <c r="J92" s="26">
        <v>0</v>
      </c>
      <c r="K92" s="24">
        <v>0</v>
      </c>
      <c r="L92" s="3">
        <v>0</v>
      </c>
      <c r="M92" s="3">
        <v>0</v>
      </c>
      <c r="N92" s="12">
        <v>0</v>
      </c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</row>
    <row r="93" spans="2:70" s="1" customFormat="1" ht="21">
      <c r="B93" s="4"/>
      <c r="C93" s="2"/>
      <c r="D93" s="2"/>
      <c r="E93" s="2"/>
      <c r="F93" s="2"/>
      <c r="G93" s="5" t="b">
        <f t="shared" si="5"/>
        <v>0</v>
      </c>
      <c r="H93" s="9">
        <f t="shared" si="4"/>
        <v>61</v>
      </c>
      <c r="I93" s="23">
        <f>CEILING(SUM(LARGE(J93:BI93,{1,2,3,4,5})),1)</f>
        <v>0</v>
      </c>
      <c r="J93" s="26">
        <v>0</v>
      </c>
      <c r="K93" s="24">
        <v>0</v>
      </c>
      <c r="L93" s="25">
        <v>0</v>
      </c>
      <c r="M93" s="3">
        <v>0</v>
      </c>
      <c r="N93" s="12">
        <v>0</v>
      </c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</row>
    <row r="94" spans="2:70" s="1" customFormat="1" ht="21">
      <c r="B94" s="4"/>
      <c r="C94" s="2"/>
      <c r="D94" s="2"/>
      <c r="E94" s="2"/>
      <c r="F94" s="2"/>
      <c r="G94" s="5" t="b">
        <f t="shared" si="5"/>
        <v>0</v>
      </c>
      <c r="H94" s="9">
        <f t="shared" si="4"/>
        <v>61</v>
      </c>
      <c r="I94" s="28">
        <f>CEILING(SUM(LARGE(J94:BI94,{1,2,3,4,5})),1)</f>
        <v>0</v>
      </c>
      <c r="J94" s="26">
        <v>0</v>
      </c>
      <c r="K94" s="29">
        <v>0</v>
      </c>
      <c r="L94" s="3">
        <v>0</v>
      </c>
      <c r="M94" s="24">
        <v>0</v>
      </c>
      <c r="N94" s="12">
        <v>0</v>
      </c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</row>
    <row r="95" spans="2:70" s="1" customFormat="1" ht="21">
      <c r="B95" s="4"/>
      <c r="C95" s="2"/>
      <c r="D95" s="2"/>
      <c r="E95" s="2"/>
      <c r="F95" s="2"/>
      <c r="G95" s="5" t="b">
        <f t="shared" si="5"/>
        <v>0</v>
      </c>
      <c r="H95" s="9">
        <f t="shared" si="4"/>
        <v>61</v>
      </c>
      <c r="I95" s="23">
        <f>CEILING(SUM(LARGE(J95:BI95,{1,2,3,4,5})),1)</f>
        <v>0</v>
      </c>
      <c r="J95" s="26">
        <v>0</v>
      </c>
      <c r="K95" s="24">
        <v>0</v>
      </c>
      <c r="L95" s="30">
        <v>0</v>
      </c>
      <c r="M95" s="3">
        <v>0</v>
      </c>
      <c r="N95" s="12">
        <v>0</v>
      </c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</row>
    <row r="96" spans="2:70" s="1" customFormat="1" ht="21">
      <c r="B96" s="4"/>
      <c r="C96" s="2"/>
      <c r="D96" s="2"/>
      <c r="E96" s="2"/>
      <c r="F96" s="2"/>
      <c r="G96" s="5" t="b">
        <f t="shared" si="5"/>
        <v>0</v>
      </c>
      <c r="H96" s="9">
        <f t="shared" si="4"/>
        <v>61</v>
      </c>
      <c r="I96" s="23">
        <f>CEILING(SUM(LARGE(J96:BI96,{1,2,3,4,5})),1)</f>
        <v>0</v>
      </c>
      <c r="J96" s="26">
        <v>0</v>
      </c>
      <c r="K96" s="24">
        <v>0</v>
      </c>
      <c r="L96" s="3">
        <v>0</v>
      </c>
      <c r="M96" s="3">
        <v>0</v>
      </c>
      <c r="N96" s="12">
        <v>0</v>
      </c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</row>
    <row r="97" spans="2:70" s="1" customFormat="1" ht="21">
      <c r="B97" s="4"/>
      <c r="C97" s="2"/>
      <c r="D97" s="2"/>
      <c r="E97" s="2"/>
      <c r="F97" s="2"/>
      <c r="G97" s="5" t="b">
        <f t="shared" si="5"/>
        <v>0</v>
      </c>
      <c r="H97" s="9">
        <f t="shared" si="4"/>
        <v>61</v>
      </c>
      <c r="I97" s="23">
        <f>CEILING(SUM(LARGE(J97:BI97,{1,2,3,4,5})),1)</f>
        <v>0</v>
      </c>
      <c r="J97" s="26">
        <v>0</v>
      </c>
      <c r="K97" s="24">
        <v>0</v>
      </c>
      <c r="L97" s="3">
        <v>0</v>
      </c>
      <c r="M97" s="3">
        <v>0</v>
      </c>
      <c r="N97" s="12">
        <v>0</v>
      </c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</row>
    <row r="98" spans="2:70" s="1" customFormat="1" ht="21">
      <c r="B98" s="4"/>
      <c r="C98" s="2"/>
      <c r="D98" s="2"/>
      <c r="E98" s="2"/>
      <c r="F98" s="2"/>
      <c r="G98" s="5" t="b">
        <f t="shared" si="5"/>
        <v>0</v>
      </c>
      <c r="H98" s="9">
        <f t="shared" si="4"/>
        <v>61</v>
      </c>
      <c r="I98" s="23">
        <f>CEILING(SUM(LARGE(J98:BI98,{1,2,3,4,5})),1)</f>
        <v>0</v>
      </c>
      <c r="J98" s="26">
        <v>0</v>
      </c>
      <c r="K98" s="24">
        <v>0</v>
      </c>
      <c r="L98" s="3">
        <v>0</v>
      </c>
      <c r="M98" s="3">
        <v>0</v>
      </c>
      <c r="N98" s="12">
        <v>0</v>
      </c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</row>
    <row r="99" spans="2:70" s="1" customFormat="1" ht="21">
      <c r="B99" s="4"/>
      <c r="C99" s="2"/>
      <c r="D99" s="2"/>
      <c r="E99" s="2"/>
      <c r="F99" s="2"/>
      <c r="G99" s="5" t="b">
        <f t="shared" si="5"/>
        <v>0</v>
      </c>
      <c r="H99" s="9">
        <f t="shared" si="4"/>
        <v>61</v>
      </c>
      <c r="I99" s="23">
        <f>CEILING(SUM(LARGE(J99:BI99,{1,2,3,4,5})),1)</f>
        <v>0</v>
      </c>
      <c r="J99" s="26">
        <v>0</v>
      </c>
      <c r="K99" s="24">
        <v>0</v>
      </c>
      <c r="L99" s="3">
        <v>0</v>
      </c>
      <c r="M99" s="3">
        <v>0</v>
      </c>
      <c r="N99" s="12">
        <v>0</v>
      </c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</row>
    <row r="100" spans="2:70" s="1" customFormat="1" ht="21">
      <c r="B100" s="4"/>
      <c r="C100" s="2"/>
      <c r="D100" s="2"/>
      <c r="E100" s="2"/>
      <c r="F100" s="2"/>
      <c r="G100" s="5" t="b">
        <f t="shared" si="5"/>
        <v>0</v>
      </c>
      <c r="H100" s="9">
        <f t="shared" ref="H100" si="6">RANK(I100,$I$4:$I$100,0)</f>
        <v>61</v>
      </c>
      <c r="I100" s="23">
        <f>CEILING(SUM(LARGE(J100:BI100,{1,2,3,4,5})),1)</f>
        <v>0</v>
      </c>
      <c r="J100" s="26">
        <v>0</v>
      </c>
      <c r="K100" s="24">
        <v>0</v>
      </c>
      <c r="L100" s="3">
        <v>0</v>
      </c>
      <c r="M100" s="3">
        <v>0</v>
      </c>
      <c r="N100" s="12">
        <v>0</v>
      </c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</row>
  </sheetData>
  <autoFilter ref="F3:F100">
    <sortState ref="B4:N100">
      <sortCondition ref="F3:F100"/>
    </sortState>
  </autoFilter>
  <mergeCells count="2">
    <mergeCell ref="J3:N3"/>
    <mergeCell ref="B2:N2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B2:Q28"/>
  <sheetViews>
    <sheetView topLeftCell="B1" zoomScaleNormal="100" workbookViewId="0">
      <selection activeCell="F5" sqref="F5"/>
    </sheetView>
  </sheetViews>
  <sheetFormatPr defaultRowHeight="15"/>
  <cols>
    <col min="1" max="1" width="9.140625" style="7"/>
    <col min="2" max="2" width="11.7109375" style="7" customWidth="1"/>
    <col min="3" max="3" width="12" style="7" customWidth="1"/>
    <col min="4" max="4" width="7.28515625" style="7" customWidth="1"/>
    <col min="5" max="5" width="11.42578125" style="7" customWidth="1"/>
    <col min="6" max="6" width="11.85546875" style="7" customWidth="1"/>
    <col min="7" max="7" width="6.5703125" style="7" customWidth="1"/>
    <col min="8" max="8" width="11.28515625" style="7" bestFit="1" customWidth="1"/>
    <col min="9" max="9" width="11.85546875" style="7" customWidth="1"/>
    <col min="10" max="10" width="7" style="7" customWidth="1"/>
    <col min="11" max="11" width="9.140625" style="7"/>
    <col min="12" max="12" width="12.7109375" style="7" customWidth="1"/>
    <col min="13" max="13" width="11" style="7" customWidth="1"/>
    <col min="14" max="15" width="9.140625" style="7"/>
    <col min="16" max="16" width="35" style="7" customWidth="1"/>
    <col min="17" max="16384" width="9.140625" style="7"/>
  </cols>
  <sheetData>
    <row r="2" spans="2:17">
      <c r="B2" s="32" t="s">
        <v>56</v>
      </c>
      <c r="C2" s="32" t="s">
        <v>57</v>
      </c>
      <c r="D2" s="32" t="s">
        <v>58</v>
      </c>
      <c r="E2" s="32" t="s">
        <v>56</v>
      </c>
      <c r="F2" s="32" t="s">
        <v>57</v>
      </c>
      <c r="G2" s="32" t="s">
        <v>58</v>
      </c>
      <c r="H2" s="48" t="s">
        <v>56</v>
      </c>
      <c r="I2" s="48" t="s">
        <v>57</v>
      </c>
      <c r="J2" s="48" t="s">
        <v>58</v>
      </c>
      <c r="L2" s="33" t="s">
        <v>59</v>
      </c>
      <c r="M2" s="20">
        <v>1.1000000000000001</v>
      </c>
      <c r="N2" s="35">
        <f>F-1</f>
        <v>0.10000000000000009</v>
      </c>
      <c r="P2" s="36" t="s">
        <v>60</v>
      </c>
      <c r="Q2" s="36" t="s">
        <v>61</v>
      </c>
    </row>
    <row r="3" spans="2:17">
      <c r="B3" s="37" t="s">
        <v>0</v>
      </c>
      <c r="C3" s="18">
        <v>200</v>
      </c>
      <c r="D3" s="18">
        <v>2</v>
      </c>
      <c r="E3" s="37" t="s">
        <v>26</v>
      </c>
      <c r="F3" s="18">
        <v>700</v>
      </c>
      <c r="G3" s="18"/>
      <c r="H3" s="18" t="s">
        <v>88</v>
      </c>
      <c r="I3" s="18">
        <v>600</v>
      </c>
      <c r="J3" s="18"/>
      <c r="P3" s="21"/>
      <c r="Q3" s="21"/>
    </row>
    <row r="4" spans="2:17">
      <c r="B4" s="37" t="s">
        <v>1</v>
      </c>
      <c r="C4" s="18">
        <v>70</v>
      </c>
      <c r="D4" s="18">
        <v>0</v>
      </c>
      <c r="E4" s="37" t="s">
        <v>27</v>
      </c>
      <c r="F4" s="18">
        <v>640</v>
      </c>
      <c r="G4" s="18"/>
      <c r="H4" s="18" t="s">
        <v>89</v>
      </c>
      <c r="I4" s="18">
        <v>30</v>
      </c>
      <c r="J4" s="18"/>
      <c r="L4" s="32" t="s">
        <v>63</v>
      </c>
      <c r="M4" s="36" t="s">
        <v>70</v>
      </c>
      <c r="P4" s="21"/>
      <c r="Q4" s="21"/>
    </row>
    <row r="5" spans="2:17">
      <c r="B5" s="37" t="s">
        <v>2</v>
      </c>
      <c r="C5" s="19">
        <v>370</v>
      </c>
      <c r="D5" s="18">
        <v>3</v>
      </c>
      <c r="E5" s="37" t="s">
        <v>28</v>
      </c>
      <c r="F5" s="18">
        <v>220</v>
      </c>
      <c r="G5" s="18"/>
      <c r="H5" s="18" t="s">
        <v>90</v>
      </c>
      <c r="I5" s="18">
        <v>290</v>
      </c>
      <c r="J5" s="18"/>
      <c r="L5" s="34" t="s">
        <v>64</v>
      </c>
      <c r="M5" s="20"/>
      <c r="N5" s="1" t="s">
        <v>83</v>
      </c>
      <c r="P5" s="21"/>
      <c r="Q5" s="21"/>
    </row>
    <row r="6" spans="2:17">
      <c r="B6" s="37" t="s">
        <v>3</v>
      </c>
      <c r="C6" s="18">
        <v>410</v>
      </c>
      <c r="D6" s="18"/>
      <c r="E6" s="37" t="s">
        <v>29</v>
      </c>
      <c r="F6" s="18">
        <v>360</v>
      </c>
      <c r="G6" s="18"/>
      <c r="H6" s="18" t="s">
        <v>91</v>
      </c>
      <c r="I6" s="18">
        <v>630</v>
      </c>
      <c r="J6" s="18"/>
      <c r="L6" s="34" t="s">
        <v>65</v>
      </c>
      <c r="M6" s="20">
        <f>ZD+ZP+ZEE+ZOO+ZPP</f>
        <v>2170</v>
      </c>
      <c r="N6" s="1" t="s">
        <v>82</v>
      </c>
      <c r="P6" s="21"/>
      <c r="Q6" s="21"/>
    </row>
    <row r="7" spans="2:17">
      <c r="B7" s="37" t="s">
        <v>4</v>
      </c>
      <c r="C7" s="18">
        <v>510</v>
      </c>
      <c r="D7" s="18"/>
      <c r="E7" s="37" t="s">
        <v>30</v>
      </c>
      <c r="F7" s="18">
        <v>450</v>
      </c>
      <c r="G7" s="18"/>
      <c r="H7" s="18" t="s">
        <v>92</v>
      </c>
      <c r="I7" s="18">
        <v>510</v>
      </c>
      <c r="J7" s="18"/>
      <c r="L7" s="34" t="s">
        <v>66</v>
      </c>
      <c r="M7" s="20">
        <f>ZA+ZJ+ZKK+ZYY+ZCCC</f>
        <v>1270</v>
      </c>
      <c r="N7" s="1" t="s">
        <v>81</v>
      </c>
      <c r="P7" s="21"/>
      <c r="Q7" s="21"/>
    </row>
    <row r="8" spans="2:17">
      <c r="B8" s="37" t="s">
        <v>5</v>
      </c>
      <c r="C8" s="18">
        <v>650</v>
      </c>
      <c r="D8" s="18"/>
      <c r="E8" s="37" t="s">
        <v>31</v>
      </c>
      <c r="F8" s="18">
        <v>550</v>
      </c>
      <c r="G8" s="18"/>
      <c r="H8" s="18" t="s">
        <v>93</v>
      </c>
      <c r="I8" s="18">
        <v>320</v>
      </c>
      <c r="J8" s="18"/>
      <c r="L8" s="34" t="s">
        <v>67</v>
      </c>
      <c r="M8" s="20"/>
      <c r="N8" s="1" t="s">
        <v>87</v>
      </c>
      <c r="P8" s="21"/>
      <c r="Q8" s="21"/>
    </row>
    <row r="9" spans="2:17">
      <c r="B9" s="37" t="s">
        <v>6</v>
      </c>
      <c r="C9" s="18">
        <v>760</v>
      </c>
      <c r="D9" s="18"/>
      <c r="E9" s="37" t="s">
        <v>32</v>
      </c>
      <c r="F9" s="18">
        <v>50</v>
      </c>
      <c r="G9" s="18"/>
      <c r="H9" s="18" t="s">
        <v>94</v>
      </c>
      <c r="I9" s="18">
        <v>610</v>
      </c>
      <c r="J9" s="18"/>
      <c r="L9" s="34" t="s">
        <v>68</v>
      </c>
      <c r="M9" s="20">
        <v>1880</v>
      </c>
      <c r="N9" s="1" t="s">
        <v>86</v>
      </c>
      <c r="P9" s="22"/>
      <c r="Q9" s="21"/>
    </row>
    <row r="10" spans="2:17">
      <c r="B10" s="37" t="s">
        <v>7</v>
      </c>
      <c r="C10" s="18">
        <v>190</v>
      </c>
      <c r="D10" s="18"/>
      <c r="E10" s="37" t="s">
        <v>33</v>
      </c>
      <c r="F10" s="18">
        <v>320</v>
      </c>
      <c r="G10" s="18"/>
      <c r="H10" s="18" t="s">
        <v>95</v>
      </c>
      <c r="I10" s="18">
        <v>720</v>
      </c>
      <c r="J10" s="18"/>
      <c r="L10" s="34" t="s">
        <v>69</v>
      </c>
      <c r="M10" s="20">
        <f>ZH+ZR+ZT+ZNN+ZJJJ</f>
        <v>830</v>
      </c>
      <c r="N10" s="1" t="s">
        <v>85</v>
      </c>
      <c r="P10" s="21"/>
      <c r="Q10" s="21"/>
    </row>
    <row r="11" spans="2:17">
      <c r="B11" s="37" t="s">
        <v>8</v>
      </c>
      <c r="C11" s="18">
        <v>610</v>
      </c>
      <c r="D11" s="18"/>
      <c r="E11" s="37" t="s">
        <v>34</v>
      </c>
      <c r="F11" s="18">
        <v>500</v>
      </c>
      <c r="G11" s="18"/>
      <c r="H11" s="18" t="s">
        <v>96</v>
      </c>
      <c r="I11" s="18"/>
      <c r="J11" s="18"/>
      <c r="P11" s="21"/>
      <c r="Q11" s="21"/>
    </row>
    <row r="12" spans="2:17">
      <c r="B12" s="37" t="s">
        <v>9</v>
      </c>
      <c r="C12" s="18">
        <v>270</v>
      </c>
      <c r="D12" s="18"/>
      <c r="E12" s="37" t="s">
        <v>35</v>
      </c>
      <c r="F12" s="18">
        <v>350</v>
      </c>
      <c r="G12" s="18"/>
      <c r="H12" s="18" t="s">
        <v>97</v>
      </c>
      <c r="I12" s="18">
        <v>140</v>
      </c>
      <c r="J12" s="18"/>
      <c r="L12" s="57" t="s">
        <v>71</v>
      </c>
      <c r="M12" s="57"/>
      <c r="P12" s="21"/>
      <c r="Q12" s="21"/>
    </row>
    <row r="13" spans="2:17">
      <c r="B13" s="37" t="s">
        <v>10</v>
      </c>
      <c r="C13" s="18">
        <v>930</v>
      </c>
      <c r="D13" s="18"/>
      <c r="E13" s="37" t="s">
        <v>36</v>
      </c>
      <c r="F13" s="18">
        <v>250</v>
      </c>
      <c r="G13" s="18"/>
      <c r="H13" s="18" t="s">
        <v>98</v>
      </c>
      <c r="I13" s="18">
        <v>20</v>
      </c>
      <c r="J13" s="18"/>
      <c r="L13" s="33" t="s">
        <v>72</v>
      </c>
      <c r="M13" s="34" t="s">
        <v>12</v>
      </c>
      <c r="P13" s="21"/>
      <c r="Q13" s="21"/>
    </row>
    <row r="14" spans="2:17">
      <c r="B14" s="37" t="s">
        <v>11</v>
      </c>
      <c r="C14" s="18">
        <v>80</v>
      </c>
      <c r="D14" s="18"/>
      <c r="E14" s="37" t="s">
        <v>37</v>
      </c>
      <c r="F14" s="18">
        <v>380</v>
      </c>
      <c r="G14" s="18"/>
      <c r="H14" s="18" t="s">
        <v>99</v>
      </c>
      <c r="I14" s="18">
        <v>530</v>
      </c>
      <c r="J14" s="18"/>
      <c r="L14" s="33" t="s">
        <v>73</v>
      </c>
      <c r="M14" s="34" t="s">
        <v>22</v>
      </c>
      <c r="P14" s="21"/>
      <c r="Q14" s="21"/>
    </row>
    <row r="15" spans="2:17">
      <c r="B15" s="37" t="s">
        <v>12</v>
      </c>
      <c r="C15" s="18">
        <v>595</v>
      </c>
      <c r="D15" s="18"/>
      <c r="E15" s="37" t="s">
        <v>38</v>
      </c>
      <c r="F15" s="18">
        <v>90</v>
      </c>
      <c r="G15" s="18"/>
      <c r="H15" s="18" t="s">
        <v>100</v>
      </c>
      <c r="I15" s="18">
        <v>570</v>
      </c>
      <c r="J15" s="18"/>
      <c r="P15" s="21"/>
      <c r="Q15" s="21"/>
    </row>
    <row r="16" spans="2:17">
      <c r="B16" s="37" t="s">
        <v>13</v>
      </c>
      <c r="C16" s="18">
        <v>360</v>
      </c>
      <c r="D16" s="18"/>
      <c r="E16" s="37" t="s">
        <v>39</v>
      </c>
      <c r="F16" s="18">
        <v>180</v>
      </c>
      <c r="G16" s="18"/>
      <c r="H16" s="18" t="s">
        <v>101</v>
      </c>
      <c r="I16" s="18"/>
      <c r="J16" s="18"/>
      <c r="L16" s="38"/>
      <c r="M16" s="38"/>
    </row>
    <row r="17" spans="2:13">
      <c r="B17" s="37" t="s">
        <v>14</v>
      </c>
      <c r="C17" s="18">
        <v>830</v>
      </c>
      <c r="D17" s="18"/>
      <c r="E17" s="37" t="s">
        <v>40</v>
      </c>
      <c r="F17" s="18">
        <v>410</v>
      </c>
      <c r="G17" s="18"/>
      <c r="H17" s="18" t="s">
        <v>102</v>
      </c>
      <c r="I17" s="18"/>
      <c r="J17" s="18"/>
      <c r="L17" s="39"/>
      <c r="M17" s="39"/>
    </row>
    <row r="18" spans="2:13">
      <c r="B18" s="37" t="s">
        <v>15</v>
      </c>
      <c r="C18" s="18">
        <v>420</v>
      </c>
      <c r="D18" s="18"/>
      <c r="E18" s="37" t="s">
        <v>41</v>
      </c>
      <c r="F18" s="18">
        <v>480</v>
      </c>
      <c r="G18" s="18"/>
      <c r="H18" s="18" t="s">
        <v>103</v>
      </c>
      <c r="I18" s="18"/>
      <c r="J18" s="18"/>
      <c r="L18" s="39"/>
      <c r="M18" s="39"/>
    </row>
    <row r="19" spans="2:13">
      <c r="B19" s="37" t="s">
        <v>16</v>
      </c>
      <c r="C19" s="18">
        <v>600</v>
      </c>
      <c r="D19" s="18"/>
      <c r="E19" s="37" t="s">
        <v>42</v>
      </c>
      <c r="F19" s="18">
        <v>810</v>
      </c>
      <c r="G19" s="18"/>
      <c r="H19" s="18" t="s">
        <v>104</v>
      </c>
      <c r="I19" s="18"/>
      <c r="J19" s="18"/>
    </row>
    <row r="20" spans="2:13">
      <c r="B20" s="37" t="s">
        <v>17</v>
      </c>
      <c r="C20" s="19">
        <v>160</v>
      </c>
      <c r="D20" s="18"/>
      <c r="E20" s="37" t="s">
        <v>43</v>
      </c>
      <c r="F20" s="18">
        <v>780</v>
      </c>
      <c r="G20" s="18"/>
      <c r="H20" s="18" t="s">
        <v>105</v>
      </c>
      <c r="I20" s="18"/>
      <c r="J20" s="18"/>
    </row>
    <row r="21" spans="2:13">
      <c r="B21" s="37" t="s">
        <v>18</v>
      </c>
      <c r="C21" s="18">
        <v>60</v>
      </c>
      <c r="D21" s="18"/>
      <c r="E21" s="37" t="s">
        <v>44</v>
      </c>
      <c r="F21" s="18">
        <v>530</v>
      </c>
      <c r="G21" s="18"/>
      <c r="H21" s="18" t="s">
        <v>106</v>
      </c>
      <c r="I21" s="18"/>
      <c r="J21" s="18"/>
    </row>
    <row r="22" spans="2:13">
      <c r="B22" s="37" t="s">
        <v>19</v>
      </c>
      <c r="C22" s="18">
        <v>160</v>
      </c>
      <c r="D22" s="18"/>
      <c r="E22" s="37" t="s">
        <v>45</v>
      </c>
      <c r="F22" s="18">
        <v>900</v>
      </c>
      <c r="G22" s="18"/>
      <c r="H22" s="18" t="s">
        <v>107</v>
      </c>
      <c r="I22" s="18"/>
      <c r="J22" s="18"/>
    </row>
    <row r="23" spans="2:13">
      <c r="B23" s="37" t="s">
        <v>20</v>
      </c>
      <c r="C23" s="18">
        <v>710</v>
      </c>
      <c r="D23" s="18"/>
      <c r="E23" s="37" t="s">
        <v>46</v>
      </c>
      <c r="F23" s="18">
        <v>690</v>
      </c>
      <c r="G23" s="18"/>
      <c r="H23" s="18" t="s">
        <v>108</v>
      </c>
      <c r="I23" s="18"/>
      <c r="J23" s="18"/>
    </row>
    <row r="24" spans="2:13">
      <c r="B24" s="37" t="s">
        <v>21</v>
      </c>
      <c r="C24" s="18">
        <v>575</v>
      </c>
      <c r="D24" s="18"/>
      <c r="E24" s="37" t="s">
        <v>47</v>
      </c>
      <c r="F24" s="18">
        <v>610</v>
      </c>
      <c r="G24" s="18"/>
      <c r="H24" s="18" t="s">
        <v>109</v>
      </c>
      <c r="I24" s="18"/>
      <c r="J24" s="18"/>
    </row>
    <row r="25" spans="2:13">
      <c r="B25" s="37" t="s">
        <v>22</v>
      </c>
      <c r="C25" s="18">
        <v>750</v>
      </c>
      <c r="D25" s="18"/>
      <c r="E25" s="37" t="s">
        <v>48</v>
      </c>
      <c r="F25" s="18">
        <v>520</v>
      </c>
      <c r="G25" s="18"/>
      <c r="H25" s="18" t="s">
        <v>110</v>
      </c>
      <c r="I25" s="18"/>
      <c r="J25" s="18"/>
    </row>
    <row r="26" spans="2:13">
      <c r="B26" s="37" t="s">
        <v>23</v>
      </c>
      <c r="C26" s="18">
        <v>390</v>
      </c>
      <c r="D26" s="18"/>
      <c r="E26" s="37" t="s">
        <v>49</v>
      </c>
      <c r="F26" s="18">
        <v>880</v>
      </c>
      <c r="G26" s="18"/>
      <c r="H26" s="18" t="s">
        <v>111</v>
      </c>
      <c r="I26" s="18"/>
      <c r="J26" s="18"/>
    </row>
    <row r="27" spans="2:13">
      <c r="B27" s="37" t="s">
        <v>24</v>
      </c>
      <c r="C27" s="18">
        <v>630</v>
      </c>
      <c r="D27" s="18"/>
      <c r="E27" s="37" t="s">
        <v>50</v>
      </c>
      <c r="F27" s="18">
        <v>260</v>
      </c>
      <c r="G27" s="18"/>
      <c r="H27" s="18" t="s">
        <v>112</v>
      </c>
      <c r="I27" s="18"/>
      <c r="J27" s="18"/>
    </row>
    <row r="28" spans="2:13">
      <c r="B28" s="37" t="s">
        <v>25</v>
      </c>
      <c r="C28" s="18">
        <v>330</v>
      </c>
      <c r="D28" s="18"/>
      <c r="E28" s="37" t="s">
        <v>51</v>
      </c>
      <c r="F28" s="18">
        <v>380</v>
      </c>
      <c r="G28" s="18"/>
      <c r="H28" s="18" t="s">
        <v>113</v>
      </c>
      <c r="I28" s="18"/>
      <c r="J28" s="18"/>
    </row>
  </sheetData>
  <mergeCells count="1">
    <mergeCell ref="L12:M1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M79"/>
  <sheetViews>
    <sheetView tabSelected="1" zoomScale="80" zoomScaleNormal="80" workbookViewId="0">
      <selection activeCell="K17" sqref="K17"/>
    </sheetView>
  </sheetViews>
  <sheetFormatPr defaultRowHeight="21"/>
  <cols>
    <col min="1" max="1" width="9.140625" style="14"/>
    <col min="2" max="2" width="28.28515625" style="14" bestFit="1" customWidth="1"/>
    <col min="3" max="3" width="18" style="14" customWidth="1"/>
    <col min="4" max="4" width="19.140625" style="14" bestFit="1" customWidth="1"/>
    <col min="5" max="5" width="11.5703125" style="14" customWidth="1"/>
    <col min="6" max="6" width="32.85546875" style="14" bestFit="1" customWidth="1"/>
    <col min="7" max="7" width="16.140625" style="14" customWidth="1"/>
    <col min="8" max="8" width="20.28515625" style="14" bestFit="1" customWidth="1"/>
    <col min="9" max="9" width="13" style="14" bestFit="1" customWidth="1"/>
    <col min="10" max="10" width="10.7109375" style="14" bestFit="1" customWidth="1"/>
    <col min="11" max="11" width="11.42578125" style="14" bestFit="1" customWidth="1"/>
    <col min="12" max="12" width="20.5703125" style="14" bestFit="1" customWidth="1"/>
    <col min="13" max="16384" width="9.140625" style="14"/>
  </cols>
  <sheetData>
    <row r="1" spans="1:13">
      <c r="B1" s="8" t="s">
        <v>76</v>
      </c>
      <c r="C1" t="s">
        <v>80</v>
      </c>
    </row>
    <row r="2" spans="1:13">
      <c r="A2" s="13"/>
      <c r="B2" s="8" t="s">
        <v>78</v>
      </c>
      <c r="C2" t="s">
        <v>80</v>
      </c>
      <c r="D2" s="13"/>
      <c r="E2" s="13"/>
      <c r="F2" s="13"/>
      <c r="G2" s="13"/>
      <c r="H2" s="13"/>
    </row>
    <row r="3" spans="1:13">
      <c r="A3" s="13"/>
      <c r="B3" s="8" t="s">
        <v>52</v>
      </c>
      <c r="C3" t="s">
        <v>80</v>
      </c>
      <c r="D3" s="15"/>
      <c r="E3" s="16"/>
      <c r="F3" s="16"/>
      <c r="G3" s="16"/>
      <c r="H3" s="13"/>
    </row>
    <row r="4" spans="1:13">
      <c r="A4" s="13"/>
      <c r="B4" s="8" t="s">
        <v>84</v>
      </c>
      <c r="C4" t="s">
        <v>80</v>
      </c>
      <c r="D4" s="17"/>
      <c r="E4" s="13"/>
      <c r="F4" s="13"/>
      <c r="G4" s="13"/>
      <c r="H4" s="13"/>
    </row>
    <row r="5" spans="1:13">
      <c r="A5" s="13"/>
      <c r="B5" s="13"/>
      <c r="C5" s="13"/>
      <c r="D5" s="13"/>
      <c r="E5" s="13"/>
      <c r="F5" s="13"/>
      <c r="G5" s="13"/>
      <c r="H5" s="13"/>
    </row>
    <row r="6" spans="1:13">
      <c r="A6" s="13"/>
      <c r="B6" s="8" t="s">
        <v>77</v>
      </c>
      <c r="C6" t="s">
        <v>79</v>
      </c>
      <c r="D6"/>
      <c r="E6"/>
      <c r="F6" s="13"/>
      <c r="G6" s="13"/>
      <c r="H6" s="13"/>
    </row>
    <row r="7" spans="1:13">
      <c r="A7" s="13"/>
      <c r="B7" s="50" t="s">
        <v>64</v>
      </c>
      <c r="C7" s="51">
        <v>45592</v>
      </c>
      <c r="D7"/>
      <c r="E7"/>
      <c r="F7" s="13"/>
      <c r="G7" s="13"/>
      <c r="H7" s="13"/>
    </row>
    <row r="8" spans="1:13">
      <c r="A8" s="13">
        <v>100</v>
      </c>
      <c r="B8" s="52" t="s">
        <v>126</v>
      </c>
      <c r="C8" s="51">
        <v>4466</v>
      </c>
      <c r="D8" t="s">
        <v>201</v>
      </c>
      <c r="E8"/>
      <c r="F8" s="13"/>
      <c r="G8" s="13"/>
      <c r="H8" s="13"/>
    </row>
    <row r="9" spans="1:13">
      <c r="A9" s="13">
        <v>80</v>
      </c>
      <c r="B9" s="52" t="s">
        <v>114</v>
      </c>
      <c r="C9" s="51">
        <v>3771</v>
      </c>
      <c r="D9" t="s">
        <v>115</v>
      </c>
      <c r="E9" s="58" t="s">
        <v>64</v>
      </c>
      <c r="F9" s="59"/>
      <c r="G9" s="13"/>
      <c r="H9" s="60"/>
      <c r="I9" s="60" t="s">
        <v>127</v>
      </c>
      <c r="J9" s="60" t="s">
        <v>151</v>
      </c>
      <c r="K9" s="60" t="s">
        <v>132</v>
      </c>
      <c r="L9" s="60" t="s">
        <v>117</v>
      </c>
      <c r="M9" s="60" t="s">
        <v>123</v>
      </c>
    </row>
    <row r="10" spans="1:13">
      <c r="A10" s="13">
        <v>60</v>
      </c>
      <c r="B10" s="52" t="s">
        <v>177</v>
      </c>
      <c r="C10" s="51">
        <v>3770</v>
      </c>
      <c r="D10" t="s">
        <v>202</v>
      </c>
      <c r="E10" s="60">
        <v>1</v>
      </c>
      <c r="F10" s="59" t="s">
        <v>193</v>
      </c>
      <c r="G10" s="13"/>
      <c r="H10" s="60" t="s">
        <v>208</v>
      </c>
      <c r="I10" s="62">
        <f>A8+A11</f>
        <v>140</v>
      </c>
      <c r="J10" s="60">
        <f>A10+A12+A15+A16+A22</f>
        <v>105</v>
      </c>
      <c r="K10" s="61">
        <f>A13+A21+A71+A72+A73</f>
        <v>261</v>
      </c>
      <c r="L10" s="60">
        <f>A17+A18</f>
        <v>5</v>
      </c>
      <c r="M10" s="60">
        <f>A20</f>
        <v>1</v>
      </c>
    </row>
    <row r="11" spans="1:13">
      <c r="A11" s="13">
        <v>40</v>
      </c>
      <c r="B11" s="52" t="s">
        <v>130</v>
      </c>
      <c r="C11" s="51">
        <v>3593</v>
      </c>
      <c r="D11" t="s">
        <v>201</v>
      </c>
      <c r="E11" s="60">
        <v>2</v>
      </c>
      <c r="F11" s="59" t="s">
        <v>194</v>
      </c>
      <c r="G11" s="13"/>
      <c r="H11" s="60" t="s">
        <v>209</v>
      </c>
      <c r="I11" s="60">
        <f>A33+A55</f>
        <v>5</v>
      </c>
      <c r="J11" s="61">
        <f>A25+A26+A27+A29+A30+A36+A38+A39+A43+A44+A47+A50+A51+A53+1</f>
        <v>330</v>
      </c>
      <c r="K11" s="60">
        <f>A24+A28+A37+A41+A45+A46+A49+A52+A54</f>
        <v>289</v>
      </c>
      <c r="L11" s="60">
        <f>A35</f>
        <v>1</v>
      </c>
      <c r="M11" s="60">
        <f>A31</f>
        <v>8</v>
      </c>
    </row>
    <row r="12" spans="1:13">
      <c r="A12" s="13">
        <v>30</v>
      </c>
      <c r="B12" s="52" t="s">
        <v>169</v>
      </c>
      <c r="C12" s="51">
        <v>3399</v>
      </c>
      <c r="D12" t="s">
        <v>202</v>
      </c>
      <c r="E12" s="60">
        <v>3</v>
      </c>
      <c r="F12" s="59" t="s">
        <v>195</v>
      </c>
      <c r="G12" s="13"/>
      <c r="H12" s="60" t="s">
        <v>210</v>
      </c>
      <c r="I12" s="60">
        <f>A57</f>
        <v>100</v>
      </c>
      <c r="J12" s="60">
        <f>A60</f>
        <v>40</v>
      </c>
      <c r="K12" s="61">
        <f>A59+A61+A63+A75+A76+A78</f>
        <v>340</v>
      </c>
      <c r="L12" s="60">
        <f>A58</f>
        <v>80</v>
      </c>
      <c r="M12" s="60">
        <f>A62</f>
        <v>20</v>
      </c>
    </row>
    <row r="13" spans="1:13">
      <c r="A13" s="13">
        <v>20</v>
      </c>
      <c r="B13" s="52" t="s">
        <v>156</v>
      </c>
      <c r="C13" s="51">
        <v>3194</v>
      </c>
      <c r="D13" t="s">
        <v>203</v>
      </c>
      <c r="E13" s="60">
        <v>4</v>
      </c>
      <c r="F13" s="59" t="s">
        <v>196</v>
      </c>
      <c r="G13" s="13"/>
      <c r="H13" s="13"/>
    </row>
    <row r="14" spans="1:13">
      <c r="A14" s="13">
        <v>10</v>
      </c>
      <c r="B14" s="52" t="s">
        <v>118</v>
      </c>
      <c r="C14" s="51">
        <v>3151</v>
      </c>
      <c r="D14" t="s">
        <v>119</v>
      </c>
      <c r="E14" s="60">
        <v>5</v>
      </c>
      <c r="F14" s="59" t="s">
        <v>197</v>
      </c>
      <c r="G14" s="13"/>
      <c r="H14" s="13"/>
    </row>
    <row r="15" spans="1:13">
      <c r="A15" s="13">
        <v>8</v>
      </c>
      <c r="B15" s="52" t="s">
        <v>160</v>
      </c>
      <c r="C15" s="51">
        <v>3084</v>
      </c>
      <c r="D15" t="s">
        <v>202</v>
      </c>
      <c r="E15" s="58" t="s">
        <v>67</v>
      </c>
      <c r="F15" s="59"/>
      <c r="G15" s="13"/>
      <c r="H15" s="13"/>
    </row>
    <row r="16" spans="1:13">
      <c r="A16" s="13">
        <v>6</v>
      </c>
      <c r="B16" s="52" t="s">
        <v>161</v>
      </c>
      <c r="C16" s="51">
        <v>2632</v>
      </c>
      <c r="D16" t="s">
        <v>202</v>
      </c>
      <c r="E16" s="60">
        <v>1</v>
      </c>
      <c r="F16" s="59" t="s">
        <v>198</v>
      </c>
      <c r="G16" s="13"/>
      <c r="H16" s="13"/>
    </row>
    <row r="17" spans="1:8">
      <c r="A17" s="13">
        <v>4</v>
      </c>
      <c r="B17" s="52" t="s">
        <v>153</v>
      </c>
      <c r="C17" s="51">
        <v>2516</v>
      </c>
      <c r="D17" t="s">
        <v>204</v>
      </c>
      <c r="E17" s="60">
        <v>2</v>
      </c>
      <c r="F17" s="59" t="s">
        <v>199</v>
      </c>
      <c r="G17" s="13"/>
      <c r="H17" s="13"/>
    </row>
    <row r="18" spans="1:8">
      <c r="A18" s="13">
        <v>1</v>
      </c>
      <c r="B18" s="52" t="s">
        <v>116</v>
      </c>
      <c r="C18" s="51">
        <v>2454</v>
      </c>
      <c r="D18" t="s">
        <v>204</v>
      </c>
      <c r="E18" s="60">
        <v>3</v>
      </c>
      <c r="F18" s="59" t="s">
        <v>141</v>
      </c>
      <c r="G18" s="13"/>
      <c r="H18" s="13"/>
    </row>
    <row r="19" spans="1:8">
      <c r="A19" s="13">
        <v>1</v>
      </c>
      <c r="B19" s="52" t="s">
        <v>121</v>
      </c>
      <c r="C19" s="51">
        <v>2453</v>
      </c>
      <c r="D19" t="s">
        <v>205</v>
      </c>
      <c r="E19" s="58" t="s">
        <v>65</v>
      </c>
      <c r="F19" s="59"/>
      <c r="G19" s="13"/>
      <c r="H19" s="13"/>
    </row>
    <row r="20" spans="1:8">
      <c r="A20" s="14">
        <v>1</v>
      </c>
      <c r="B20" s="52" t="s">
        <v>122</v>
      </c>
      <c r="C20" s="51">
        <v>2447</v>
      </c>
      <c r="D20" t="s">
        <v>123</v>
      </c>
      <c r="E20" s="60">
        <v>1</v>
      </c>
      <c r="F20" s="59" t="s">
        <v>136</v>
      </c>
    </row>
    <row r="21" spans="1:8">
      <c r="A21" s="14">
        <v>1</v>
      </c>
      <c r="B21" s="52" t="s">
        <v>174</v>
      </c>
      <c r="C21" s="51">
        <v>2435</v>
      </c>
      <c r="D21" t="s">
        <v>203</v>
      </c>
      <c r="E21" s="60">
        <v>2</v>
      </c>
      <c r="F21" s="59" t="s">
        <v>168</v>
      </c>
    </row>
    <row r="22" spans="1:8">
      <c r="A22" s="14">
        <v>1</v>
      </c>
      <c r="B22" s="52" t="s">
        <v>150</v>
      </c>
      <c r="C22" s="51">
        <v>2227</v>
      </c>
      <c r="D22" t="s">
        <v>202</v>
      </c>
      <c r="E22" s="60">
        <v>3</v>
      </c>
      <c r="F22" s="59" t="s">
        <v>159</v>
      </c>
    </row>
    <row r="23" spans="1:8">
      <c r="B23" s="50" t="s">
        <v>65</v>
      </c>
      <c r="C23" s="51">
        <v>29143</v>
      </c>
      <c r="D23"/>
      <c r="E23" s="58" t="s">
        <v>68</v>
      </c>
      <c r="F23" s="59"/>
    </row>
    <row r="24" spans="1:8">
      <c r="A24" s="14">
        <v>100</v>
      </c>
      <c r="B24" s="52" t="s">
        <v>136</v>
      </c>
      <c r="C24" s="51">
        <v>2166</v>
      </c>
      <c r="D24" t="s">
        <v>203</v>
      </c>
      <c r="E24" s="60">
        <v>1</v>
      </c>
      <c r="F24" s="59" t="s">
        <v>191</v>
      </c>
    </row>
    <row r="25" spans="1:8">
      <c r="A25" s="14">
        <v>80</v>
      </c>
      <c r="B25" s="52" t="s">
        <v>168</v>
      </c>
      <c r="C25" s="51">
        <v>2109</v>
      </c>
      <c r="D25" t="s">
        <v>202</v>
      </c>
      <c r="E25" s="60">
        <v>2</v>
      </c>
      <c r="F25" s="59" t="s">
        <v>152</v>
      </c>
    </row>
    <row r="26" spans="1:8">
      <c r="A26" s="14">
        <v>60</v>
      </c>
      <c r="B26" s="52" t="s">
        <v>159</v>
      </c>
      <c r="C26" s="51">
        <v>2082</v>
      </c>
      <c r="D26" t="s">
        <v>202</v>
      </c>
      <c r="E26" s="60">
        <v>3</v>
      </c>
      <c r="F26" s="59" t="s">
        <v>163</v>
      </c>
    </row>
    <row r="27" spans="1:8">
      <c r="A27" s="14">
        <v>40</v>
      </c>
      <c r="B27" s="52" t="s">
        <v>175</v>
      </c>
      <c r="C27" s="51">
        <v>2075</v>
      </c>
      <c r="D27" t="s">
        <v>202</v>
      </c>
      <c r="E27" s="58" t="s">
        <v>66</v>
      </c>
      <c r="F27" s="59"/>
    </row>
    <row r="28" spans="1:8">
      <c r="A28" s="14">
        <v>30</v>
      </c>
      <c r="B28" s="52" t="s">
        <v>143</v>
      </c>
      <c r="C28" s="51">
        <v>1993</v>
      </c>
      <c r="D28" t="s">
        <v>203</v>
      </c>
      <c r="E28" s="60">
        <v>1</v>
      </c>
      <c r="F28" s="59" t="s">
        <v>189</v>
      </c>
    </row>
    <row r="29" spans="1:8">
      <c r="A29" s="14">
        <v>20</v>
      </c>
      <c r="B29" s="52" t="s">
        <v>164</v>
      </c>
      <c r="C29" s="51">
        <v>1982</v>
      </c>
      <c r="D29" t="s">
        <v>202</v>
      </c>
      <c r="E29" s="60">
        <v>2</v>
      </c>
      <c r="F29" s="59" t="s">
        <v>120</v>
      </c>
    </row>
    <row r="30" spans="1:8">
      <c r="A30" s="14">
        <v>10</v>
      </c>
      <c r="B30" s="52" t="s">
        <v>184</v>
      </c>
      <c r="C30" s="51">
        <v>1948</v>
      </c>
      <c r="D30" t="s">
        <v>202</v>
      </c>
      <c r="E30" s="60">
        <v>3</v>
      </c>
      <c r="F30" s="59" t="s">
        <v>134</v>
      </c>
    </row>
    <row r="31" spans="1:8">
      <c r="A31" s="14">
        <v>8</v>
      </c>
      <c r="B31" s="52" t="s">
        <v>178</v>
      </c>
      <c r="C31" s="51">
        <v>1915</v>
      </c>
      <c r="D31" t="s">
        <v>123</v>
      </c>
      <c r="E31" s="58" t="s">
        <v>69</v>
      </c>
      <c r="F31" s="59"/>
    </row>
    <row r="32" spans="1:8">
      <c r="A32" s="14">
        <v>6</v>
      </c>
      <c r="B32" s="52" t="s">
        <v>129</v>
      </c>
      <c r="C32" s="51">
        <v>1871</v>
      </c>
      <c r="D32" t="s">
        <v>206</v>
      </c>
      <c r="E32" s="60">
        <v>1</v>
      </c>
      <c r="F32" s="59" t="s">
        <v>133</v>
      </c>
    </row>
    <row r="33" spans="1:6">
      <c r="A33" s="14">
        <v>4</v>
      </c>
      <c r="B33" s="52" t="s">
        <v>124</v>
      </c>
      <c r="C33" s="51">
        <v>1860</v>
      </c>
      <c r="D33" t="s">
        <v>201</v>
      </c>
      <c r="E33" s="60">
        <v>2</v>
      </c>
      <c r="F33" s="59" t="s">
        <v>192</v>
      </c>
    </row>
    <row r="34" spans="1:6">
      <c r="A34" s="14">
        <v>1</v>
      </c>
      <c r="B34" s="52" t="s">
        <v>185</v>
      </c>
      <c r="C34" s="51">
        <v>1694</v>
      </c>
      <c r="D34" t="s">
        <v>207</v>
      </c>
      <c r="E34" s="60">
        <v>3</v>
      </c>
      <c r="F34" s="59" t="s">
        <v>173</v>
      </c>
    </row>
    <row r="35" spans="1:6">
      <c r="A35" s="14">
        <v>1</v>
      </c>
      <c r="B35" s="52" t="s">
        <v>154</v>
      </c>
      <c r="C35" s="51">
        <v>1615</v>
      </c>
      <c r="D35" t="s">
        <v>204</v>
      </c>
    </row>
    <row r="36" spans="1:6">
      <c r="A36" s="14">
        <v>1</v>
      </c>
      <c r="B36" s="52" t="s">
        <v>182</v>
      </c>
      <c r="C36" s="51">
        <v>1524</v>
      </c>
      <c r="D36" t="s">
        <v>202</v>
      </c>
    </row>
    <row r="37" spans="1:6">
      <c r="A37" s="14">
        <v>1</v>
      </c>
      <c r="B37" s="52" t="s">
        <v>140</v>
      </c>
      <c r="C37" s="51">
        <v>1463</v>
      </c>
      <c r="D37" t="s">
        <v>203</v>
      </c>
    </row>
    <row r="38" spans="1:6">
      <c r="A38" s="14">
        <v>1</v>
      </c>
      <c r="B38" s="52" t="s">
        <v>181</v>
      </c>
      <c r="C38" s="51">
        <v>1441</v>
      </c>
      <c r="D38" t="s">
        <v>202</v>
      </c>
    </row>
    <row r="39" spans="1:6">
      <c r="A39" s="14">
        <v>1</v>
      </c>
      <c r="B39" s="52" t="s">
        <v>176</v>
      </c>
      <c r="C39" s="51">
        <v>1405</v>
      </c>
      <c r="D39" t="s">
        <v>202</v>
      </c>
    </row>
    <row r="40" spans="1:6">
      <c r="B40" s="50" t="s">
        <v>68</v>
      </c>
      <c r="C40" s="51">
        <v>21721</v>
      </c>
      <c r="D40"/>
    </row>
    <row r="41" spans="1:6">
      <c r="A41" s="14">
        <v>100</v>
      </c>
      <c r="B41" s="52" t="s">
        <v>139</v>
      </c>
      <c r="C41" s="51">
        <v>1866</v>
      </c>
      <c r="D41" t="s">
        <v>203</v>
      </c>
    </row>
    <row r="42" spans="1:6">
      <c r="A42" s="14">
        <v>80</v>
      </c>
      <c r="B42" s="52" t="s">
        <v>152</v>
      </c>
      <c r="C42" s="51">
        <v>1812</v>
      </c>
      <c r="D42" t="s">
        <v>90</v>
      </c>
    </row>
    <row r="43" spans="1:6">
      <c r="A43" s="14">
        <v>60</v>
      </c>
      <c r="B43" s="52" t="s">
        <v>163</v>
      </c>
      <c r="C43" s="51">
        <v>1811</v>
      </c>
      <c r="D43" t="s">
        <v>202</v>
      </c>
    </row>
    <row r="44" spans="1:6">
      <c r="A44" s="14">
        <v>40</v>
      </c>
      <c r="B44" s="52" t="s">
        <v>157</v>
      </c>
      <c r="C44" s="51">
        <v>1811</v>
      </c>
      <c r="D44" t="s">
        <v>202</v>
      </c>
    </row>
    <row r="45" spans="1:6">
      <c r="A45" s="14">
        <v>30</v>
      </c>
      <c r="B45" s="52" t="s">
        <v>149</v>
      </c>
      <c r="C45" s="51">
        <v>1768</v>
      </c>
      <c r="D45" t="s">
        <v>203</v>
      </c>
    </row>
    <row r="46" spans="1:6">
      <c r="A46" s="14">
        <v>20</v>
      </c>
      <c r="B46" s="52" t="s">
        <v>142</v>
      </c>
      <c r="C46" s="51">
        <v>1683</v>
      </c>
      <c r="D46" t="s">
        <v>203</v>
      </c>
    </row>
    <row r="47" spans="1:6">
      <c r="A47" s="14">
        <v>10</v>
      </c>
      <c r="B47" s="52" t="s">
        <v>158</v>
      </c>
      <c r="C47" s="51">
        <v>1518</v>
      </c>
      <c r="D47" t="s">
        <v>202</v>
      </c>
    </row>
    <row r="48" spans="1:6">
      <c r="A48" s="14">
        <v>8</v>
      </c>
      <c r="B48" s="52" t="s">
        <v>179</v>
      </c>
      <c r="C48" s="51">
        <v>1506</v>
      </c>
      <c r="D48" t="s">
        <v>180</v>
      </c>
    </row>
    <row r="49" spans="1:4">
      <c r="A49" s="14">
        <v>6</v>
      </c>
      <c r="B49" s="52" t="s">
        <v>147</v>
      </c>
      <c r="C49" s="51">
        <v>1487</v>
      </c>
      <c r="D49" t="s">
        <v>203</v>
      </c>
    </row>
    <row r="50" spans="1:4">
      <c r="A50" s="14">
        <v>4</v>
      </c>
      <c r="B50" s="52" t="s">
        <v>162</v>
      </c>
      <c r="C50" s="51">
        <v>1442</v>
      </c>
      <c r="D50" t="s">
        <v>202</v>
      </c>
    </row>
    <row r="51" spans="1:4">
      <c r="A51" s="14">
        <v>1</v>
      </c>
      <c r="B51" s="52" t="s">
        <v>165</v>
      </c>
      <c r="C51" s="51">
        <v>1119</v>
      </c>
      <c r="D51" t="s">
        <v>202</v>
      </c>
    </row>
    <row r="52" spans="1:4">
      <c r="A52" s="14">
        <v>1</v>
      </c>
      <c r="B52" s="52" t="s">
        <v>148</v>
      </c>
      <c r="C52" s="51">
        <v>1023</v>
      </c>
      <c r="D52" t="s">
        <v>203</v>
      </c>
    </row>
    <row r="53" spans="1:4">
      <c r="A53" s="14">
        <v>1</v>
      </c>
      <c r="B53" s="52" t="s">
        <v>167</v>
      </c>
      <c r="C53" s="51">
        <v>1020</v>
      </c>
      <c r="D53" t="s">
        <v>202</v>
      </c>
    </row>
    <row r="54" spans="1:4">
      <c r="A54" s="14">
        <v>1</v>
      </c>
      <c r="B54" s="52" t="s">
        <v>172</v>
      </c>
      <c r="C54" s="51">
        <v>979</v>
      </c>
      <c r="D54" t="s">
        <v>203</v>
      </c>
    </row>
    <row r="55" spans="1:4">
      <c r="A55" s="14">
        <v>1</v>
      </c>
      <c r="B55" s="52" t="s">
        <v>128</v>
      </c>
      <c r="C55" s="51">
        <v>876</v>
      </c>
      <c r="D55" t="s">
        <v>201</v>
      </c>
    </row>
    <row r="56" spans="1:4">
      <c r="B56" s="50" t="s">
        <v>66</v>
      </c>
      <c r="C56" s="51">
        <v>8180</v>
      </c>
      <c r="D56"/>
    </row>
    <row r="57" spans="1:4">
      <c r="A57" s="14">
        <v>100</v>
      </c>
      <c r="B57" s="52" t="s">
        <v>189</v>
      </c>
      <c r="C57" s="51">
        <v>1947</v>
      </c>
      <c r="D57" t="s">
        <v>201</v>
      </c>
    </row>
    <row r="58" spans="1:4">
      <c r="A58" s="14">
        <v>80</v>
      </c>
      <c r="B58" s="52" t="s">
        <v>120</v>
      </c>
      <c r="C58" s="51">
        <v>1269</v>
      </c>
      <c r="D58" t="s">
        <v>204</v>
      </c>
    </row>
    <row r="59" spans="1:4">
      <c r="A59" s="14">
        <v>60</v>
      </c>
      <c r="B59" s="52" t="s">
        <v>134</v>
      </c>
      <c r="C59" s="51">
        <v>1212</v>
      </c>
      <c r="D59" t="s">
        <v>203</v>
      </c>
    </row>
    <row r="60" spans="1:4">
      <c r="A60" s="14">
        <v>40</v>
      </c>
      <c r="B60" s="52" t="s">
        <v>170</v>
      </c>
      <c r="C60" s="51">
        <v>1200</v>
      </c>
      <c r="D60" t="s">
        <v>202</v>
      </c>
    </row>
    <row r="61" spans="1:4">
      <c r="A61" s="14">
        <v>30</v>
      </c>
      <c r="B61" s="52" t="s">
        <v>187</v>
      </c>
      <c r="C61" s="51">
        <v>1157</v>
      </c>
      <c r="D61" t="s">
        <v>203</v>
      </c>
    </row>
    <row r="62" spans="1:4">
      <c r="A62" s="14">
        <v>20</v>
      </c>
      <c r="B62" s="52" t="s">
        <v>183</v>
      </c>
      <c r="C62" s="51">
        <v>768</v>
      </c>
      <c r="D62" t="s">
        <v>123</v>
      </c>
    </row>
    <row r="63" spans="1:4">
      <c r="A63" s="14">
        <v>10</v>
      </c>
      <c r="B63" s="52" t="s">
        <v>146</v>
      </c>
      <c r="C63" s="51">
        <v>627</v>
      </c>
      <c r="D63" t="s">
        <v>203</v>
      </c>
    </row>
    <row r="64" spans="1:4">
      <c r="B64" s="52" t="s">
        <v>135</v>
      </c>
      <c r="C64" s="51">
        <v>0</v>
      </c>
      <c r="D64"/>
    </row>
    <row r="65" spans="1:4">
      <c r="B65" s="52" t="s">
        <v>144</v>
      </c>
      <c r="C65" s="51">
        <v>0</v>
      </c>
      <c r="D65"/>
    </row>
    <row r="66" spans="1:4">
      <c r="B66" s="52" t="s">
        <v>125</v>
      </c>
      <c r="C66" s="51">
        <v>0</v>
      </c>
      <c r="D66"/>
    </row>
    <row r="67" spans="1:4">
      <c r="B67" s="52" t="s">
        <v>145</v>
      </c>
      <c r="C67" s="51">
        <v>0</v>
      </c>
      <c r="D67"/>
    </row>
    <row r="68" spans="1:4">
      <c r="B68" s="52" t="s">
        <v>171</v>
      </c>
      <c r="C68" s="51">
        <v>0</v>
      </c>
      <c r="D68"/>
    </row>
    <row r="69" spans="1:4">
      <c r="B69" s="52" t="s">
        <v>138</v>
      </c>
      <c r="C69" s="51">
        <v>0</v>
      </c>
      <c r="D69"/>
    </row>
    <row r="70" spans="1:4">
      <c r="B70" s="50" t="s">
        <v>67</v>
      </c>
      <c r="C70" s="51">
        <v>7955</v>
      </c>
      <c r="D70"/>
    </row>
    <row r="71" spans="1:4">
      <c r="A71" s="14">
        <v>100</v>
      </c>
      <c r="B71" s="52" t="s">
        <v>137</v>
      </c>
      <c r="C71" s="51">
        <v>3780</v>
      </c>
      <c r="D71" t="s">
        <v>203</v>
      </c>
    </row>
    <row r="72" spans="1:4">
      <c r="A72" s="14">
        <v>80</v>
      </c>
      <c r="B72" s="52" t="s">
        <v>188</v>
      </c>
      <c r="C72" s="51">
        <v>2188</v>
      </c>
      <c r="D72" t="s">
        <v>203</v>
      </c>
    </row>
    <row r="73" spans="1:4">
      <c r="A73" s="14">
        <v>60</v>
      </c>
      <c r="B73" s="52" t="s">
        <v>141</v>
      </c>
      <c r="C73" s="51">
        <v>1987</v>
      </c>
      <c r="D73" t="s">
        <v>203</v>
      </c>
    </row>
    <row r="74" spans="1:4">
      <c r="B74" s="50" t="s">
        <v>69</v>
      </c>
      <c r="C74" s="51">
        <v>1142</v>
      </c>
      <c r="D74"/>
    </row>
    <row r="75" spans="1:4">
      <c r="A75" s="14">
        <v>100</v>
      </c>
      <c r="B75" s="52" t="s">
        <v>133</v>
      </c>
      <c r="C75" s="51">
        <v>418</v>
      </c>
      <c r="D75" t="s">
        <v>203</v>
      </c>
    </row>
    <row r="76" spans="1:4">
      <c r="A76" s="14">
        <v>80</v>
      </c>
      <c r="B76" s="52" t="s">
        <v>131</v>
      </c>
      <c r="C76" s="51">
        <v>312</v>
      </c>
      <c r="D76" t="s">
        <v>203</v>
      </c>
    </row>
    <row r="77" spans="1:4">
      <c r="A77" s="14" t="s">
        <v>200</v>
      </c>
      <c r="B77" s="52" t="s">
        <v>166</v>
      </c>
      <c r="C77" s="51">
        <v>275</v>
      </c>
      <c r="D77" t="s">
        <v>202</v>
      </c>
    </row>
    <row r="78" spans="1:4">
      <c r="A78" s="14">
        <v>60</v>
      </c>
      <c r="B78" s="52" t="s">
        <v>173</v>
      </c>
      <c r="C78" s="51">
        <v>137</v>
      </c>
      <c r="D78" t="s">
        <v>203</v>
      </c>
    </row>
    <row r="79" spans="1:4">
      <c r="B79"/>
      <c r="C79"/>
      <c r="D79"/>
    </row>
  </sheetData>
  <pageMargins left="0.7" right="0.7" top="0.75" bottom="0.75" header="0.3" footer="0.3"/>
  <pageSetup orientation="portrait" horizontalDpi="4294967293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87</vt:i4>
      </vt:variant>
    </vt:vector>
  </HeadingPairs>
  <TitlesOfParts>
    <vt:vector size="90" baseType="lpstr">
      <vt:lpstr>Climber Records</vt:lpstr>
      <vt:lpstr>Problem Values</vt:lpstr>
      <vt:lpstr>Comp Results</vt:lpstr>
      <vt:lpstr>DU</vt:lpstr>
      <vt:lpstr>F</vt:lpstr>
      <vt:lpstr>M</vt:lpstr>
      <vt:lpstr>MA</vt:lpstr>
      <vt:lpstr>MAP</vt:lpstr>
      <vt:lpstr>MB</vt:lpstr>
      <vt:lpstr>MBP</vt:lpstr>
      <vt:lpstr>MI</vt:lpstr>
      <vt:lpstr>MIP</vt:lpstr>
      <vt:lpstr>PU</vt:lpstr>
      <vt:lpstr>TU</vt:lpstr>
      <vt:lpstr>UDEL</vt:lpstr>
      <vt:lpstr>UPENN</vt:lpstr>
      <vt:lpstr>VU</vt:lpstr>
      <vt:lpstr>W</vt:lpstr>
      <vt:lpstr>WA</vt:lpstr>
      <vt:lpstr>WAP</vt:lpstr>
      <vt:lpstr>WB</vt:lpstr>
      <vt:lpstr>WBP</vt:lpstr>
      <vt:lpstr>WCU</vt:lpstr>
      <vt:lpstr>WI</vt:lpstr>
      <vt:lpstr>WIP</vt:lpstr>
      <vt:lpstr>ZA</vt:lpstr>
      <vt:lpstr>ZAA</vt:lpstr>
      <vt:lpstr>ZAAA</vt:lpstr>
      <vt:lpstr>ZB</vt:lpstr>
      <vt:lpstr>ZBB</vt:lpstr>
      <vt:lpstr>ZBBB</vt:lpstr>
      <vt:lpstr>ZC</vt:lpstr>
      <vt:lpstr>ZCC</vt:lpstr>
      <vt:lpstr>ZCCC</vt:lpstr>
      <vt:lpstr>ZD</vt:lpstr>
      <vt:lpstr>ZDD</vt:lpstr>
      <vt:lpstr>ZDDD</vt:lpstr>
      <vt:lpstr>ZE</vt:lpstr>
      <vt:lpstr>ZEE</vt:lpstr>
      <vt:lpstr>ZEEE</vt:lpstr>
      <vt:lpstr>ZF</vt:lpstr>
      <vt:lpstr>ZFF</vt:lpstr>
      <vt:lpstr>ZFFF</vt:lpstr>
      <vt:lpstr>ZG</vt:lpstr>
      <vt:lpstr>ZGG</vt:lpstr>
      <vt:lpstr>ZGGG</vt:lpstr>
      <vt:lpstr>ZH</vt:lpstr>
      <vt:lpstr>ZHH</vt:lpstr>
      <vt:lpstr>ZHHH</vt:lpstr>
      <vt:lpstr>ZI</vt:lpstr>
      <vt:lpstr>ZII</vt:lpstr>
      <vt:lpstr>ZIII</vt:lpstr>
      <vt:lpstr>ZJ</vt:lpstr>
      <vt:lpstr>ZJJ</vt:lpstr>
      <vt:lpstr>ZJJJ</vt:lpstr>
      <vt:lpstr>ZK</vt:lpstr>
      <vt:lpstr>ZKK</vt:lpstr>
      <vt:lpstr>ZKKK</vt:lpstr>
      <vt:lpstr>ZL</vt:lpstr>
      <vt:lpstr>ZLL</vt:lpstr>
      <vt:lpstr>ZLLL</vt:lpstr>
      <vt:lpstr>ZM</vt:lpstr>
      <vt:lpstr>ZMM</vt:lpstr>
      <vt:lpstr>ZMMM</vt:lpstr>
      <vt:lpstr>ZN</vt:lpstr>
      <vt:lpstr>ZNN</vt:lpstr>
      <vt:lpstr>ZO</vt:lpstr>
      <vt:lpstr>ZOO</vt:lpstr>
      <vt:lpstr>ZP</vt:lpstr>
      <vt:lpstr>ZPP</vt:lpstr>
      <vt:lpstr>ZQ</vt:lpstr>
      <vt:lpstr>ZQQ</vt:lpstr>
      <vt:lpstr>ZR</vt:lpstr>
      <vt:lpstr>ZRR</vt:lpstr>
      <vt:lpstr>ZS</vt:lpstr>
      <vt:lpstr>ZSS</vt:lpstr>
      <vt:lpstr>ZT</vt:lpstr>
      <vt:lpstr>ZTT</vt:lpstr>
      <vt:lpstr>ZU</vt:lpstr>
      <vt:lpstr>ZUU</vt:lpstr>
      <vt:lpstr>ZV</vt:lpstr>
      <vt:lpstr>ZVV</vt:lpstr>
      <vt:lpstr>ZW</vt:lpstr>
      <vt:lpstr>ZWW</vt:lpstr>
      <vt:lpstr>ZX</vt:lpstr>
      <vt:lpstr>ZXX</vt:lpstr>
      <vt:lpstr>ZY</vt:lpstr>
      <vt:lpstr>ZYY</vt:lpstr>
      <vt:lpstr>ZZ</vt:lpstr>
      <vt:lpstr>ZZZ</vt:lpstr>
    </vt:vector>
  </TitlesOfParts>
  <Company>Drexel 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Tyler Devilbiss</dc:creator>
  <cp:lastModifiedBy>Tyler Devilbiss</cp:lastModifiedBy>
  <dcterms:created xsi:type="dcterms:W3CDTF">2013-11-08T01:14:19Z</dcterms:created>
  <dcterms:modified xsi:type="dcterms:W3CDTF">2014-09-29T21:03:25Z</dcterms:modified>
</cp:coreProperties>
</file>