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Tucker\Documents\PCCS\Score Sheets\"/>
    </mc:Choice>
  </mc:AlternateContent>
  <bookViews>
    <workbookView xWindow="0" yWindow="0" windowWidth="20490" windowHeight="7755" activeTab="2"/>
  </bookViews>
  <sheets>
    <sheet name="Climber Records" sheetId="2" r:id="rId1"/>
    <sheet name="Problem Values" sheetId="1" r:id="rId2"/>
    <sheet name="Comp Results" sheetId="3" r:id="rId3"/>
  </sheets>
  <definedNames>
    <definedName name="_xlnm._FilterDatabase" localSheetId="0" hidden="1">'Climber Records'!$F$3:$F$96</definedName>
    <definedName name="DU">'Problem Values'!$Q$3</definedName>
    <definedName name="F">'Problem Values'!$M$2</definedName>
    <definedName name="M">'Problem Values'!$M$13</definedName>
    <definedName name="MA">'Problem Values'!$L$5</definedName>
    <definedName name="MAP">'Problem Values'!$M$5</definedName>
    <definedName name="MB">'Problem Values'!$L$7</definedName>
    <definedName name="MBP">'Problem Values'!$M$7</definedName>
    <definedName name="MI">'Problem Values'!$L$6</definedName>
    <definedName name="MIP">'Problem Values'!$M$6</definedName>
    <definedName name="PU">'Problem Values'!$Q$7</definedName>
    <definedName name="TU">'Problem Values'!$Q$6</definedName>
    <definedName name="UDEL">'Problem Values'!$Q$5</definedName>
    <definedName name="UPENN">'Problem Values'!$Q$11</definedName>
    <definedName name="VU">'Problem Values'!$Q$9</definedName>
    <definedName name="W">'Problem Values'!$M$14</definedName>
    <definedName name="WA">'Problem Values'!$L$8</definedName>
    <definedName name="WAP">'Problem Values'!$M$8</definedName>
    <definedName name="WB">'Problem Values'!$L$10</definedName>
    <definedName name="WBP">'Problem Values'!$M$10</definedName>
    <definedName name="WCU">'Problem Values'!$Q$8</definedName>
    <definedName name="WI">'Problem Values'!$L$9</definedName>
    <definedName name="WIP">'Problem Values'!$M$9</definedName>
    <definedName name="ZA">'Problem Values'!$C$3</definedName>
    <definedName name="ZAA">'Problem Values'!$F$3</definedName>
    <definedName name="ZAAA">'Problem Values'!$I$3</definedName>
    <definedName name="ZB">'Problem Values'!$C$4</definedName>
    <definedName name="ZBB">'Problem Values'!$F$4</definedName>
    <definedName name="ZBBB">'Problem Values'!$I$4</definedName>
    <definedName name="ZC">'Problem Values'!$C$5</definedName>
    <definedName name="ZCC">'Problem Values'!$F$5</definedName>
    <definedName name="ZCCC">'Problem Values'!$I$5</definedName>
    <definedName name="ZD">'Problem Values'!$C$6</definedName>
    <definedName name="ZDD">'Problem Values'!$F$6</definedName>
    <definedName name="ZDDD">'Problem Values'!$I$6</definedName>
    <definedName name="ZE">'Problem Values'!$C$7</definedName>
    <definedName name="ZEE">'Problem Values'!$F$7</definedName>
    <definedName name="ZEEE">'Problem Values'!$I$7</definedName>
    <definedName name="ZF">'Problem Values'!$C$8</definedName>
    <definedName name="ZFF">'Problem Values'!$F$8</definedName>
    <definedName name="ZFFF">'Problem Values'!$I$8</definedName>
    <definedName name="ZG">'Problem Values'!$C$9</definedName>
    <definedName name="ZGG">'Problem Values'!$F$9</definedName>
    <definedName name="ZGGG">'Problem Values'!$I$9</definedName>
    <definedName name="ZH">'Problem Values'!$C$10</definedName>
    <definedName name="ZHH">'Problem Values'!$F$10</definedName>
    <definedName name="ZHHH">'Problem Values'!$I$10</definedName>
    <definedName name="ZI">'Problem Values'!$C$11</definedName>
    <definedName name="ZII">'Problem Values'!$F$11</definedName>
    <definedName name="ZIII">'Problem Values'!$I$11</definedName>
    <definedName name="ZJ">'Problem Values'!$C$12</definedName>
    <definedName name="ZJJ">'Problem Values'!$F$12</definedName>
    <definedName name="ZJJJ">'Problem Values'!$I$12</definedName>
    <definedName name="ZK">'Problem Values'!$C$13</definedName>
    <definedName name="ZKK">'Problem Values'!$F$13</definedName>
    <definedName name="ZKKK">'Problem Values'!$I$13</definedName>
    <definedName name="ZL">'Problem Values'!$C$14</definedName>
    <definedName name="ZLL">'Problem Values'!$F$14</definedName>
    <definedName name="ZLLL">'Problem Values'!$I$14</definedName>
    <definedName name="ZM">'Problem Values'!$C$15</definedName>
    <definedName name="ZMM">'Problem Values'!$F$15</definedName>
    <definedName name="ZMMM">'Problem Values'!$I$15</definedName>
    <definedName name="ZN">'Problem Values'!$C$16</definedName>
    <definedName name="ZNN">'Problem Values'!$F$16</definedName>
    <definedName name="ZNNN">'Problem Values'!$I$16</definedName>
    <definedName name="ZO">'Problem Values'!$C$17</definedName>
    <definedName name="ZOO">'Problem Values'!$F$17</definedName>
    <definedName name="ZOOO">'Problem Values'!$I$17</definedName>
    <definedName name="ZP">'Problem Values'!$C$18</definedName>
    <definedName name="ZPP">'Problem Values'!$F$18</definedName>
    <definedName name="ZPPP">'Problem Values'!$I$18</definedName>
    <definedName name="ZQ">'Problem Values'!$C$19</definedName>
    <definedName name="ZQQ">'Problem Values'!$F$19</definedName>
    <definedName name="ZQQQ">'Problem Values'!$I$19</definedName>
    <definedName name="ZR">'Problem Values'!$C$20</definedName>
    <definedName name="ZRR">'Problem Values'!$F$20</definedName>
    <definedName name="ZRRR">'Problem Values'!$I$20</definedName>
    <definedName name="ZS">'Problem Values'!$C$21</definedName>
    <definedName name="ZSS">'Problem Values'!$F$21</definedName>
    <definedName name="ZSSS">'Problem Values'!$I$21</definedName>
    <definedName name="ZT">'Problem Values'!$C$22</definedName>
    <definedName name="ZTT">'Problem Values'!$F$22</definedName>
    <definedName name="ZTTT">'Problem Values'!$I$22</definedName>
    <definedName name="ZU">'Problem Values'!$C$23</definedName>
    <definedName name="ZUU">'Problem Values'!$F$23</definedName>
    <definedName name="ZUUU">'Problem Values'!$I$23</definedName>
    <definedName name="ZV">'Problem Values'!$C$24</definedName>
    <definedName name="ZVV">'Problem Values'!$F$24</definedName>
    <definedName name="ZVVV">'Problem Values'!$I$24</definedName>
    <definedName name="ZW">'Problem Values'!$C$25</definedName>
    <definedName name="ZWW">'Problem Values'!$F$25</definedName>
    <definedName name="ZWWW">'Problem Values'!$I$25</definedName>
    <definedName name="ZX">'Problem Values'!$C$26</definedName>
    <definedName name="ZXX">'Problem Values'!$F$26</definedName>
    <definedName name="ZXXX">'Problem Values'!$I$26</definedName>
    <definedName name="ZY">'Problem Values'!$C$27</definedName>
    <definedName name="ZYY">'Problem Values'!$F$27</definedName>
    <definedName name="ZYYY">'Problem Values'!$I$27</definedName>
    <definedName name="ZZ">'Problem Values'!$C$28</definedName>
    <definedName name="ZZZ">'Problem Values'!$F$28</definedName>
    <definedName name="ZZZZ">'Problem Values'!$I$28</definedName>
  </definedNames>
  <calcPr calcId="152511"/>
  <pivotCaches>
    <pivotCache cacheId="14" r:id="rId4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7" i="2" l="1"/>
  <c r="K10" i="3" l="1"/>
  <c r="M53" i="2" l="1"/>
  <c r="L53" i="2"/>
  <c r="K53" i="2"/>
  <c r="J53" i="2"/>
  <c r="L17" i="2"/>
  <c r="K54" i="2"/>
  <c r="J54" i="2"/>
  <c r="J43" i="2"/>
  <c r="K43" i="2"/>
  <c r="N20" i="2"/>
  <c r="N12" i="2"/>
  <c r="M12" i="2"/>
  <c r="L12" i="2"/>
  <c r="K12" i="2"/>
  <c r="J12" i="2"/>
  <c r="M20" i="2"/>
  <c r="N35" i="2"/>
  <c r="M35" i="2"/>
  <c r="L35" i="2"/>
  <c r="K35" i="2"/>
  <c r="J35" i="2"/>
  <c r="J32" i="2"/>
  <c r="M41" i="2"/>
  <c r="N31" i="2"/>
  <c r="N14" i="2"/>
  <c r="M14" i="2"/>
  <c r="L14" i="2"/>
  <c r="K14" i="2"/>
  <c r="J14" i="2"/>
  <c r="L41" i="2"/>
  <c r="L45" i="2"/>
  <c r="N45" i="2"/>
  <c r="M45" i="2"/>
  <c r="K45" i="2"/>
  <c r="J45" i="2"/>
  <c r="N54" i="2"/>
  <c r="M54" i="2"/>
  <c r="L54" i="2"/>
  <c r="N59" i="2"/>
  <c r="M59" i="2"/>
  <c r="L59" i="2"/>
  <c r="K59" i="2"/>
  <c r="J59" i="2"/>
  <c r="N17" i="2"/>
  <c r="M17" i="2"/>
  <c r="K17" i="2"/>
  <c r="J17" i="2"/>
  <c r="N43" i="2"/>
  <c r="M43" i="2"/>
  <c r="L43" i="2"/>
  <c r="L20" i="2"/>
  <c r="K20" i="2"/>
  <c r="J20" i="2"/>
  <c r="N32" i="2"/>
  <c r="M32" i="2"/>
  <c r="L32" i="2"/>
  <c r="K32" i="2"/>
  <c r="K41" i="2"/>
  <c r="J41" i="2"/>
  <c r="I41" i="2" s="1"/>
  <c r="G41" i="2" s="1"/>
  <c r="N65" i="2"/>
  <c r="M65" i="2"/>
  <c r="L65" i="2"/>
  <c r="K65" i="2"/>
  <c r="J65" i="2"/>
  <c r="M31" i="2"/>
  <c r="L31" i="2"/>
  <c r="K31" i="2"/>
  <c r="J31" i="2"/>
  <c r="N68" i="2"/>
  <c r="M68" i="2"/>
  <c r="L68" i="2"/>
  <c r="K68" i="2"/>
  <c r="J68" i="2"/>
  <c r="M6" i="2"/>
  <c r="L6" i="2"/>
  <c r="K6" i="2"/>
  <c r="J6" i="2"/>
  <c r="N25" i="2"/>
  <c r="M25" i="2"/>
  <c r="L25" i="2"/>
  <c r="K25" i="2"/>
  <c r="J25" i="2"/>
  <c r="N23" i="2"/>
  <c r="M23" i="2"/>
  <c r="L23" i="2"/>
  <c r="K23" i="2"/>
  <c r="J23" i="2"/>
  <c r="N15" i="2"/>
  <c r="M15" i="2"/>
  <c r="L15" i="2"/>
  <c r="K15" i="2"/>
  <c r="J15" i="2"/>
  <c r="L42" i="2"/>
  <c r="K42" i="2"/>
  <c r="J42" i="2"/>
  <c r="I42" i="2" s="1"/>
  <c r="G42" i="2" s="1"/>
  <c r="N27" i="2"/>
  <c r="M27" i="2"/>
  <c r="L27" i="2"/>
  <c r="K27" i="2"/>
  <c r="J27" i="2"/>
  <c r="N16" i="2"/>
  <c r="M16" i="2"/>
  <c r="L16" i="2"/>
  <c r="K16" i="2"/>
  <c r="I16" i="2" s="1"/>
  <c r="G16" i="2" s="1"/>
  <c r="J16" i="2"/>
  <c r="L21" i="2"/>
  <c r="K21" i="2"/>
  <c r="J21" i="2"/>
  <c r="M34" i="2"/>
  <c r="L34" i="2"/>
  <c r="K34" i="2"/>
  <c r="J34" i="2"/>
  <c r="J62" i="2"/>
  <c r="N62" i="2"/>
  <c r="N52" i="2"/>
  <c r="M52" i="2"/>
  <c r="L52" i="2"/>
  <c r="K52" i="2"/>
  <c r="J52" i="2"/>
  <c r="N58" i="2"/>
  <c r="M58" i="2"/>
  <c r="L58" i="2"/>
  <c r="K58" i="2"/>
  <c r="J58" i="2"/>
  <c r="L18" i="2"/>
  <c r="K18" i="2"/>
  <c r="J66" i="2"/>
  <c r="N66" i="2"/>
  <c r="N29" i="2"/>
  <c r="M29" i="2"/>
  <c r="L29" i="2"/>
  <c r="K29" i="2"/>
  <c r="J29" i="2"/>
  <c r="N7" i="2"/>
  <c r="M7" i="2"/>
  <c r="L7" i="2"/>
  <c r="K7" i="2"/>
  <c r="J7" i="2"/>
  <c r="N13" i="2"/>
  <c r="M13" i="2"/>
  <c r="L13" i="2"/>
  <c r="K13" i="2"/>
  <c r="J13" i="2"/>
  <c r="N60" i="2"/>
  <c r="M60" i="2"/>
  <c r="L60" i="2"/>
  <c r="K60" i="2"/>
  <c r="J60" i="2"/>
  <c r="M49" i="2"/>
  <c r="L49" i="2"/>
  <c r="K49" i="2"/>
  <c r="J49" i="2"/>
  <c r="N48" i="2"/>
  <c r="M48" i="2"/>
  <c r="L48" i="2"/>
  <c r="K48" i="2"/>
  <c r="J48" i="2"/>
  <c r="N22" i="2"/>
  <c r="M22" i="2"/>
  <c r="L22" i="2"/>
  <c r="K22" i="2"/>
  <c r="J22" i="2"/>
  <c r="N26" i="2"/>
  <c r="M26" i="2"/>
  <c r="L26" i="2"/>
  <c r="K26" i="2"/>
  <c r="J26" i="2"/>
  <c r="N40" i="2"/>
  <c r="M40" i="2"/>
  <c r="L40" i="2"/>
  <c r="K40" i="2"/>
  <c r="J40" i="2"/>
  <c r="N57" i="2"/>
  <c r="M57" i="2"/>
  <c r="L57" i="2"/>
  <c r="K57" i="2"/>
  <c r="J57" i="2"/>
  <c r="N63" i="2"/>
  <c r="M63" i="2"/>
  <c r="L63" i="2"/>
  <c r="K63" i="2"/>
  <c r="J63" i="2"/>
  <c r="M44" i="2"/>
  <c r="L44" i="2"/>
  <c r="K44" i="2"/>
  <c r="J44" i="2"/>
  <c r="N30" i="2"/>
  <c r="M30" i="2"/>
  <c r="L30" i="2"/>
  <c r="K30" i="2"/>
  <c r="J30" i="2"/>
  <c r="M56" i="2"/>
  <c r="M66" i="2"/>
  <c r="L66" i="2"/>
  <c r="K66" i="2"/>
  <c r="M62" i="2"/>
  <c r="L62" i="2"/>
  <c r="K62" i="2"/>
  <c r="L56" i="2"/>
  <c r="K56" i="2"/>
  <c r="J56" i="2"/>
  <c r="N55" i="2"/>
  <c r="M55" i="2"/>
  <c r="L55" i="2"/>
  <c r="K55" i="2"/>
  <c r="J55" i="2"/>
  <c r="N50" i="2"/>
  <c r="M50" i="2"/>
  <c r="L50" i="2"/>
  <c r="K50" i="2"/>
  <c r="J50" i="2"/>
  <c r="K46" i="2"/>
  <c r="M37" i="2"/>
  <c r="L37" i="2"/>
  <c r="K37" i="2"/>
  <c r="J37" i="2"/>
  <c r="J61" i="2"/>
  <c r="N61" i="2"/>
  <c r="M61" i="2"/>
  <c r="L61" i="2"/>
  <c r="K61" i="2"/>
  <c r="N36" i="2"/>
  <c r="M36" i="2"/>
  <c r="L36" i="2"/>
  <c r="K36" i="2"/>
  <c r="J36" i="2"/>
  <c r="M38" i="2"/>
  <c r="L38" i="2"/>
  <c r="K38" i="2"/>
  <c r="J38" i="2"/>
  <c r="M8" i="2"/>
  <c r="L8" i="2"/>
  <c r="K8" i="2"/>
  <c r="J8" i="2"/>
  <c r="N39" i="2"/>
  <c r="M39" i="2"/>
  <c r="L39" i="2"/>
  <c r="K39" i="2"/>
  <c r="J39" i="2"/>
  <c r="N5" i="2"/>
  <c r="M5" i="2"/>
  <c r="L5" i="2"/>
  <c r="K5" i="2"/>
  <c r="J5" i="2"/>
  <c r="M18" i="2"/>
  <c r="N64" i="2"/>
  <c r="M64" i="2"/>
  <c r="L64" i="2"/>
  <c r="K64" i="2"/>
  <c r="J64" i="2"/>
  <c r="J51" i="2"/>
  <c r="L4" i="2"/>
  <c r="K4" i="2"/>
  <c r="J4" i="2"/>
  <c r="N19" i="2"/>
  <c r="M19" i="2"/>
  <c r="L19" i="2"/>
  <c r="K19" i="2"/>
  <c r="J19" i="2"/>
  <c r="N24" i="2"/>
  <c r="M24" i="2"/>
  <c r="L24" i="2"/>
  <c r="K24" i="2"/>
  <c r="J24" i="2"/>
  <c r="M11" i="2"/>
  <c r="L11" i="2"/>
  <c r="K11" i="2"/>
  <c r="J11" i="2"/>
  <c r="N9" i="2"/>
  <c r="M9" i="2"/>
  <c r="L9" i="2"/>
  <c r="K9" i="2"/>
  <c r="J9" i="2"/>
  <c r="N51" i="2"/>
  <c r="M51" i="2"/>
  <c r="L51" i="2"/>
  <c r="K51" i="2"/>
  <c r="N46" i="2"/>
  <c r="M46" i="2"/>
  <c r="L46" i="2"/>
  <c r="J46" i="2"/>
  <c r="N10" i="2"/>
  <c r="M10" i="2"/>
  <c r="L10" i="2"/>
  <c r="K10" i="2"/>
  <c r="J10" i="2"/>
  <c r="N47" i="2"/>
  <c r="M47" i="2"/>
  <c r="L47" i="2"/>
  <c r="K47" i="2"/>
  <c r="J47" i="2"/>
  <c r="N18" i="2"/>
  <c r="J18" i="2"/>
  <c r="M33" i="2"/>
  <c r="L33" i="2"/>
  <c r="K33" i="2"/>
  <c r="J33" i="2"/>
  <c r="J10" i="3"/>
  <c r="N10" i="3"/>
  <c r="N12" i="3"/>
  <c r="L12" i="3"/>
  <c r="K12" i="3"/>
  <c r="I12" i="3"/>
  <c r="N11" i="3"/>
  <c r="M11" i="3"/>
  <c r="L11" i="3"/>
  <c r="K11" i="3"/>
  <c r="J11" i="3"/>
  <c r="I11" i="3"/>
  <c r="I10" i="3"/>
  <c r="L10" i="3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I28" i="2"/>
  <c r="G28" i="2" s="1"/>
  <c r="I67" i="2"/>
  <c r="G67" i="2" s="1"/>
  <c r="I69" i="2"/>
  <c r="G69" i="2" s="1"/>
  <c r="N2" i="1"/>
  <c r="I5" i="2" l="1"/>
  <c r="G5" i="2" s="1"/>
  <c r="I61" i="2"/>
  <c r="G61" i="2" s="1"/>
  <c r="I37" i="2"/>
  <c r="G37" i="2" s="1"/>
  <c r="I55" i="2"/>
  <c r="G55" i="2" s="1"/>
  <c r="I30" i="2"/>
  <c r="G30" i="2" s="1"/>
  <c r="I57" i="2"/>
  <c r="G57" i="2" s="1"/>
  <c r="I40" i="2"/>
  <c r="G40" i="2" s="1"/>
  <c r="I48" i="2"/>
  <c r="G48" i="2" s="1"/>
  <c r="I49" i="2"/>
  <c r="G49" i="2" s="1"/>
  <c r="I29" i="2"/>
  <c r="G29" i="2" s="1"/>
  <c r="I58" i="2"/>
  <c r="G58" i="2" s="1"/>
  <c r="I52" i="2"/>
  <c r="G52" i="2" s="1"/>
  <c r="I34" i="2"/>
  <c r="G34" i="2" s="1"/>
  <c r="I21" i="2"/>
  <c r="G21" i="2" s="1"/>
  <c r="I15" i="2"/>
  <c r="G15" i="2" s="1"/>
  <c r="I17" i="2"/>
  <c r="G17" i="2" s="1"/>
  <c r="I45" i="2"/>
  <c r="G45" i="2" s="1"/>
  <c r="I4" i="2"/>
  <c r="G4" i="2" s="1"/>
  <c r="I62" i="2"/>
  <c r="G62" i="2" s="1"/>
  <c r="I43" i="2"/>
  <c r="G43" i="2" s="1"/>
  <c r="I39" i="2"/>
  <c r="G39" i="2" s="1"/>
  <c r="I38" i="2"/>
  <c r="G38" i="2" s="1"/>
  <c r="I50" i="2"/>
  <c r="G50" i="2" s="1"/>
  <c r="I56" i="2"/>
  <c r="G56" i="2" s="1"/>
  <c r="I44" i="2"/>
  <c r="G44" i="2" s="1"/>
  <c r="I26" i="2"/>
  <c r="G26" i="2" s="1"/>
  <c r="I60" i="2"/>
  <c r="G60" i="2" s="1"/>
  <c r="I23" i="2"/>
  <c r="G23" i="2" s="1"/>
  <c r="I25" i="2"/>
  <c r="G25" i="2" s="1"/>
  <c r="I6" i="2"/>
  <c r="G6" i="2" s="1"/>
  <c r="I68" i="2"/>
  <c r="G68" i="2" s="1"/>
  <c r="I31" i="2"/>
  <c r="G31" i="2" s="1"/>
  <c r="I65" i="2"/>
  <c r="G65" i="2" s="1"/>
  <c r="I32" i="2"/>
  <c r="G32" i="2" s="1"/>
  <c r="I59" i="2"/>
  <c r="G59" i="2" s="1"/>
  <c r="I8" i="2"/>
  <c r="G8" i="2" s="1"/>
  <c r="I36" i="2"/>
  <c r="G36" i="2" s="1"/>
  <c r="I63" i="2"/>
  <c r="G63" i="2" s="1"/>
  <c r="I24" i="2"/>
  <c r="G24" i="2" s="1"/>
  <c r="I10" i="2"/>
  <c r="G10" i="2" s="1"/>
  <c r="I66" i="2"/>
  <c r="G66" i="2" s="1"/>
  <c r="I35" i="2"/>
  <c r="G35" i="2" s="1"/>
  <c r="I12" i="2"/>
  <c r="G12" i="2" s="1"/>
  <c r="I53" i="2"/>
  <c r="G53" i="2" s="1"/>
  <c r="I47" i="2"/>
  <c r="G47" i="2" s="1"/>
  <c r="I11" i="2"/>
  <c r="G11" i="2" s="1"/>
  <c r="I64" i="2"/>
  <c r="G64" i="2" s="1"/>
  <c r="I22" i="2"/>
  <c r="G22" i="2" s="1"/>
  <c r="I7" i="2"/>
  <c r="G7" i="2" s="1"/>
  <c r="I18" i="2"/>
  <c r="G18" i="2" s="1"/>
  <c r="I9" i="2"/>
  <c r="G9" i="2" s="1"/>
  <c r="I14" i="2"/>
  <c r="G14" i="2" s="1"/>
  <c r="I51" i="2"/>
  <c r="G51" i="2" s="1"/>
  <c r="I33" i="2"/>
  <c r="I46" i="2"/>
  <c r="G46" i="2" s="1"/>
  <c r="I13" i="2"/>
  <c r="G13" i="2" s="1"/>
  <c r="I20" i="2"/>
  <c r="G20" i="2" s="1"/>
  <c r="I54" i="2"/>
  <c r="G54" i="2" s="1"/>
  <c r="I19" i="2"/>
  <c r="G19" i="2" s="1"/>
  <c r="H52" i="2" l="1"/>
  <c r="H36" i="2"/>
  <c r="H32" i="2"/>
  <c r="H27" i="2"/>
  <c r="H4" i="2"/>
  <c r="H94" i="2"/>
  <c r="H53" i="2"/>
  <c r="H30" i="2"/>
  <c r="H28" i="2"/>
  <c r="H87" i="2"/>
  <c r="H45" i="2"/>
  <c r="H8" i="2"/>
  <c r="H54" i="2"/>
  <c r="H34" i="2"/>
  <c r="H46" i="2"/>
  <c r="H60" i="2"/>
  <c r="H83" i="2"/>
  <c r="H73" i="2"/>
  <c r="H64" i="2"/>
  <c r="H59" i="2"/>
  <c r="H39" i="2"/>
  <c r="H72" i="2"/>
  <c r="H80" i="2"/>
  <c r="H58" i="2"/>
  <c r="H51" i="2"/>
  <c r="H23" i="2"/>
  <c r="H47" i="2"/>
  <c r="H19" i="2"/>
  <c r="H15" i="2"/>
  <c r="H25" i="2"/>
  <c r="H24" i="2"/>
  <c r="H68" i="2"/>
  <c r="H89" i="2"/>
  <c r="H78" i="2"/>
  <c r="H93" i="2"/>
  <c r="H88" i="2"/>
  <c r="H62" i="2"/>
  <c r="H79" i="2"/>
  <c r="H29" i="2"/>
  <c r="H57" i="2"/>
  <c r="H74" i="2"/>
  <c r="H18" i="2"/>
  <c r="H40" i="2"/>
  <c r="H38" i="2"/>
  <c r="H91" i="2"/>
  <c r="H67" i="2"/>
  <c r="H21" i="2"/>
  <c r="H44" i="2"/>
  <c r="H50" i="2"/>
  <c r="H61" i="2"/>
  <c r="H20" i="2"/>
  <c r="H70" i="2"/>
  <c r="H12" i="2"/>
  <c r="H85" i="2"/>
  <c r="H41" i="2"/>
  <c r="H13" i="2"/>
  <c r="H76" i="2"/>
  <c r="H82" i="2"/>
  <c r="H71" i="2"/>
  <c r="H26" i="2"/>
  <c r="H14" i="2"/>
  <c r="H49" i="2"/>
  <c r="H7" i="2"/>
  <c r="H92" i="2"/>
  <c r="H75" i="2"/>
  <c r="H77" i="2"/>
  <c r="H65" i="2"/>
  <c r="G33" i="2"/>
  <c r="H63" i="2"/>
  <c r="H16" i="2"/>
  <c r="H42" i="2"/>
  <c r="H86" i="2"/>
  <c r="H17" i="2"/>
  <c r="H56" i="2"/>
  <c r="H69" i="2"/>
  <c r="H90" i="2"/>
  <c r="H66" i="2"/>
  <c r="H9" i="2"/>
  <c r="H48" i="2"/>
  <c r="H22" i="2"/>
  <c r="H35" i="2"/>
  <c r="H81" i="2"/>
  <c r="H6" i="2"/>
  <c r="H55" i="2"/>
  <c r="H33" i="2"/>
  <c r="H11" i="2"/>
  <c r="H95" i="2"/>
  <c r="H43" i="2"/>
  <c r="H96" i="2"/>
  <c r="H5" i="2"/>
  <c r="H31" i="2"/>
  <c r="H84" i="2"/>
  <c r="H10" i="2"/>
  <c r="H37" i="2"/>
</calcChain>
</file>

<file path=xl/comments1.xml><?xml version="1.0" encoding="utf-8"?>
<comments xmlns="http://schemas.openxmlformats.org/spreadsheetml/2006/main">
  <authors>
    <author>Tyler Devilbiss</author>
  </authors>
  <commentList>
    <comment ref="E3" authorId="0" shape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Insert  a capital M or W for gender.</t>
        </r>
      </text>
    </comment>
    <comment ref="J3" authorId="0" shapeId="0">
      <text>
        <r>
          <rPr>
            <b/>
            <sz val="14"/>
            <color indexed="81"/>
            <rFont val="Tahoma"/>
            <family val="2"/>
          </rPr>
          <t>Tyler Devilbiss:</t>
        </r>
        <r>
          <rPr>
            <sz val="14"/>
            <color indexed="81"/>
            <rFont val="Tahoma"/>
            <family val="2"/>
          </rPr>
          <t xml:space="preserve">
to enter score use =Z"climb code" (A, DD…) To add flash bonus use *F
EX: =ZA*F for flashed climb A</t>
        </r>
      </text>
    </comment>
  </commentList>
</comments>
</file>

<file path=xl/comments2.xml><?xml version="1.0" encoding="utf-8"?>
<comments xmlns="http://schemas.openxmlformats.org/spreadsheetml/2006/main">
  <authors>
    <author>Tyler Devilbiss</author>
  </authors>
  <commentList>
    <comment ref="M5" authorId="0" shape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These values are the top 5 climbs'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<sst xmlns="http://schemas.openxmlformats.org/spreadsheetml/2006/main" count="440" uniqueCount="207">
  <si>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</si>
  <si>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</si>
  <si>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</si>
  <si>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</si>
  <si>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</si>
  <si>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</si>
  <si>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</si>
  <si>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</si>
  <si>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</si>
  <si>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</si>
  <si>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</si>
  <si>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</si>
  <si>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</si>
  <si>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</si>
  <si>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</si>
  <si>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</si>
  <si>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</si>
  <si>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</si>
  <si>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</si>
  <si>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</si>
  <si>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</si>
  <si>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</si>
  <si>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</si>
  <si>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</si>
  <si>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</si>
  <si>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</si>
  <si>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</si>
  <si>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BB</t>
  </si>
  <si>
    <t>CC</t>
  </si>
  <si>
    <t>DD</t>
  </si>
  <si>
    <t>EE</t>
  </si>
  <si>
    <t>FF</t>
  </si>
  <si>
    <t>GG</t>
  </si>
  <si>
    <t>HH</t>
  </si>
  <si>
    <t>II</t>
  </si>
  <si>
    <t>JJ</t>
  </si>
  <si>
    <t>KK</t>
  </si>
  <si>
    <t>LL</t>
  </si>
  <si>
    <t>MM</t>
  </si>
  <si>
    <t>NN</t>
  </si>
  <si>
    <t>OO</t>
  </si>
  <si>
    <t>PP</t>
  </si>
  <si>
    <t>QQ</t>
  </si>
  <si>
    <t>RR</t>
  </si>
  <si>
    <t>SS</t>
  </si>
  <si>
    <t>TT</t>
  </si>
  <si>
    <t>UU</t>
  </si>
  <si>
    <t>VV</t>
  </si>
  <si>
    <t>WW</t>
  </si>
  <si>
    <t>XX</t>
  </si>
  <si>
    <t>YY</t>
  </si>
  <si>
    <t>ZZ</t>
  </si>
  <si>
    <t>School</t>
  </si>
  <si>
    <t>Climber Name</t>
  </si>
  <si>
    <t>Score Total</t>
  </si>
  <si>
    <t>PCCS Official Score Sheet</t>
  </si>
  <si>
    <t>Climb Label</t>
  </si>
  <si>
    <t>Point Value</t>
  </si>
  <si>
    <t>Grade</t>
  </si>
  <si>
    <t>Flash value, F</t>
  </si>
  <si>
    <t>Schools</t>
  </si>
  <si>
    <t>Code</t>
  </si>
  <si>
    <t>Division</t>
  </si>
  <si>
    <t>Divisions</t>
  </si>
  <si>
    <t>MA</t>
  </si>
  <si>
    <t>MI</t>
  </si>
  <si>
    <t>MB</t>
  </si>
  <si>
    <t>WA</t>
  </si>
  <si>
    <t>WI</t>
  </si>
  <si>
    <t>WB</t>
  </si>
  <si>
    <t>Max Points</t>
  </si>
  <si>
    <t>Gender Codes</t>
  </si>
  <si>
    <t>Male</t>
  </si>
  <si>
    <t>Female</t>
  </si>
  <si>
    <t>Enter Climbs From Here Over ---&gt;</t>
  </si>
  <si>
    <t>Overall Ranking</t>
  </si>
  <si>
    <t>Gender, M/W</t>
  </si>
  <si>
    <t>Row Labels</t>
  </si>
  <si>
    <t>Paid</t>
  </si>
  <si>
    <t>Sum of Score Total</t>
  </si>
  <si>
    <t>(All)</t>
  </si>
  <si>
    <t>V0-V2</t>
  </si>
  <si>
    <t>V3-V4</t>
  </si>
  <si>
    <t>V5+</t>
  </si>
  <si>
    <t>Division-1</t>
  </si>
  <si>
    <t>V0-V1</t>
  </si>
  <si>
    <t>V2-V3</t>
  </si>
  <si>
    <t>V4+</t>
  </si>
  <si>
    <t>DREXEL</t>
  </si>
  <si>
    <t>PENN</t>
  </si>
  <si>
    <t>WCU</t>
  </si>
  <si>
    <t>TEMPLE</t>
  </si>
  <si>
    <t>UDEL</t>
  </si>
  <si>
    <t>WIDNER</t>
  </si>
  <si>
    <t>ADVANCE</t>
  </si>
  <si>
    <t>INTERMEDIATE</t>
  </si>
  <si>
    <t>BEGINNER</t>
  </si>
  <si>
    <t>TEAM POINTS</t>
  </si>
  <si>
    <t>AAA</t>
  </si>
  <si>
    <t>BBB</t>
  </si>
  <si>
    <t>CCC</t>
  </si>
  <si>
    <t>DDD</t>
  </si>
  <si>
    <t>EEE</t>
  </si>
  <si>
    <t>FFF</t>
  </si>
  <si>
    <t>GGG</t>
  </si>
  <si>
    <t>HHH</t>
  </si>
  <si>
    <t>III</t>
  </si>
  <si>
    <t>JJJ</t>
  </si>
  <si>
    <t>KKK</t>
  </si>
  <si>
    <t>LLL</t>
  </si>
  <si>
    <t>MMM</t>
  </si>
  <si>
    <t>NNN</t>
  </si>
  <si>
    <t>OOO</t>
  </si>
  <si>
    <t>PPP</t>
  </si>
  <si>
    <t>QQQ</t>
  </si>
  <si>
    <t>RRR</t>
  </si>
  <si>
    <t>SSS</t>
  </si>
  <si>
    <t>TTT</t>
  </si>
  <si>
    <t>UUU</t>
  </si>
  <si>
    <t>VVV</t>
  </si>
  <si>
    <t>WWW</t>
  </si>
  <si>
    <t>XXX</t>
  </si>
  <si>
    <t>YYY</t>
  </si>
  <si>
    <t>ZZZ</t>
  </si>
  <si>
    <t>Temple</t>
  </si>
  <si>
    <t>Drexel</t>
  </si>
  <si>
    <t>Penn</t>
  </si>
  <si>
    <t>DU</t>
  </si>
  <si>
    <t>TU</t>
  </si>
  <si>
    <t>UP</t>
  </si>
  <si>
    <t>Westchester</t>
  </si>
  <si>
    <t>Ian Proud</t>
  </si>
  <si>
    <t>Miranda Kelly</t>
  </si>
  <si>
    <t>Sammi Werner</t>
  </si>
  <si>
    <t>BoDean Messier</t>
  </si>
  <si>
    <t>Burhan Qaddoumi</t>
  </si>
  <si>
    <t>West Chester</t>
  </si>
  <si>
    <t>Andrew Zedosky</t>
  </si>
  <si>
    <t>Adam Kurg</t>
  </si>
  <si>
    <t>Melissa Krug</t>
  </si>
  <si>
    <t>None</t>
  </si>
  <si>
    <t>Matthew Reigle</t>
  </si>
  <si>
    <t>Lauren Myers</t>
  </si>
  <si>
    <t>Marisa Claggett</t>
  </si>
  <si>
    <t>Adam Averbuch</t>
  </si>
  <si>
    <t>Michael Walther</t>
  </si>
  <si>
    <t>Jennesys Aviles</t>
  </si>
  <si>
    <t>Brendon Riley</t>
  </si>
  <si>
    <t>Alsadiq Fayadh</t>
  </si>
  <si>
    <t>Dan Paredes</t>
  </si>
  <si>
    <t>Andrew Dieck</t>
  </si>
  <si>
    <t>Ryan Sager</t>
  </si>
  <si>
    <t>Jacob Tannahill</t>
  </si>
  <si>
    <t>Alison Mineronic</t>
  </si>
  <si>
    <t>drexel</t>
  </si>
  <si>
    <t>Roy Aizen</t>
  </si>
  <si>
    <t>Alie Walt</t>
  </si>
  <si>
    <t>IEP</t>
  </si>
  <si>
    <t>J. Nicholas Orlando</t>
  </si>
  <si>
    <t>Jacob Rudelson</t>
  </si>
  <si>
    <t>Adrian Wint</t>
  </si>
  <si>
    <t>Thao Lai</t>
  </si>
  <si>
    <t>Whitney Mech</t>
  </si>
  <si>
    <t>Kory Ancona</t>
  </si>
  <si>
    <t>Eric Lam</t>
  </si>
  <si>
    <t xml:space="preserve">Drexel </t>
  </si>
  <si>
    <t>Ryan Rue</t>
  </si>
  <si>
    <t>Cameron Fox</t>
  </si>
  <si>
    <t>Marko Durica</t>
  </si>
  <si>
    <t>Rick Eastburn</t>
  </si>
  <si>
    <t>Josh Vichere</t>
  </si>
  <si>
    <t>Michael Kong</t>
  </si>
  <si>
    <t>none</t>
  </si>
  <si>
    <t>Jeremy Vital</t>
  </si>
  <si>
    <t>David Kassie</t>
  </si>
  <si>
    <t>Morgan Ash</t>
  </si>
  <si>
    <t>Chris Dailey</t>
  </si>
  <si>
    <t>Ian Riley</t>
  </si>
  <si>
    <t>Daniel Shanks</t>
  </si>
  <si>
    <t>Andrez Murphy</t>
  </si>
  <si>
    <t>Nicholas Galitzki</t>
  </si>
  <si>
    <t>Katrina Hauck</t>
  </si>
  <si>
    <t>Elizabeth Studer</t>
  </si>
  <si>
    <t>David Spain</t>
  </si>
  <si>
    <t>Angela Patini</t>
  </si>
  <si>
    <t>Ashley Gaulding</t>
  </si>
  <si>
    <t>Teresa Dabback</t>
  </si>
  <si>
    <t>Alex Tighe</t>
  </si>
  <si>
    <t>Cody Goldberg</t>
  </si>
  <si>
    <t>Morgan Lapidus</t>
  </si>
  <si>
    <t>Ashley Xu</t>
  </si>
  <si>
    <t>(blank)</t>
  </si>
  <si>
    <t>Pedram Vazifeh</t>
  </si>
  <si>
    <t>Grace Icenogle</t>
  </si>
  <si>
    <t>Tom Meehan</t>
  </si>
  <si>
    <t>Austin Alexander</t>
  </si>
  <si>
    <t>Karen Yee</t>
  </si>
  <si>
    <t>Isaac Carrnghers</t>
  </si>
  <si>
    <t>Kimberly Kuoch</t>
  </si>
  <si>
    <t>Gabriel Schwartz</t>
  </si>
  <si>
    <t xml:space="preserve">Dionisi </t>
  </si>
  <si>
    <t>Steve Neff</t>
  </si>
  <si>
    <t>Josh Dorr</t>
  </si>
  <si>
    <t>Michael Wadsley</t>
  </si>
  <si>
    <t>Mike Walther</t>
  </si>
  <si>
    <t>Sammie Werner</t>
  </si>
  <si>
    <t>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</si>
</sst>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36"/>
      <color theme="0"/>
      <name val="Berlin Sans FB Demi"/>
      <family val="2"/>
    </font>
    <font>
      <sz val="16"/>
      <color rgb="FF000000"/>
      <name val="Calibri"/>
      <family val="2"/>
      <scheme val="minor"/>
    </font>
    <font>
      <b/>
      <sz val="14"/>
      <color indexed="81"/>
      <name val="Tahoma"/>
      <family val="2"/>
    </font>
    <font>
      <sz val="14"/>
      <color indexed="81"/>
      <name val="Tahoma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</xf>
    <xf numFmtId="0" fontId="0" fillId="0" borderId="0" xfId="0" applyBorder="1" applyProtection="1"/>
    <xf numFmtId="0" fontId="0" fillId="0" borderId="0" xfId="0" applyProtection="1"/>
    <xf numFmtId="0" fontId="0" fillId="0" borderId="0" xfId="0" pivotButton="1"/>
    <xf numFmtId="0" fontId="1" fillId="0" borderId="1" xfId="0" applyFont="1" applyBorder="1" applyProtection="1"/>
    <xf numFmtId="0" fontId="6" fillId="0" borderId="1" xfId="0" applyFont="1" applyBorder="1" applyProtection="1"/>
    <xf numFmtId="0" fontId="6" fillId="0" borderId="1" xfId="0" applyFont="1" applyBorder="1" applyAlignment="1" applyProtection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0" xfId="0" applyFont="1" applyBorder="1"/>
    <xf numFmtId="0" fontId="1" fillId="0" borderId="0" xfId="0" applyFont="1"/>
    <xf numFmtId="0" fontId="7" fillId="0" borderId="0" xfId="0" applyFont="1" applyBorder="1"/>
    <xf numFmtId="0" fontId="7" fillId="0" borderId="0" xfId="0" applyFont="1" applyBorder="1" applyAlignment="1"/>
    <xf numFmtId="0" fontId="1" fillId="0" borderId="0" xfId="0" applyFont="1" applyBorder="1" applyAlignment="1"/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1" fillId="0" borderId="2" xfId="0" applyFont="1" applyBorder="1" applyProtection="1"/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 applyProtection="1">
      <protection locked="0"/>
    </xf>
    <xf numFmtId="0" fontId="1" fillId="0" borderId="7" xfId="0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1" fillId="0" borderId="9" xfId="0" applyFont="1" applyBorder="1" applyProtection="1"/>
    <xf numFmtId="0" fontId="1" fillId="0" borderId="10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3" fillId="0" borderId="1" xfId="0" applyFont="1" applyBorder="1" applyAlignment="1" applyProtection="1">
      <alignment horizontal="center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9" fontId="0" fillId="0" borderId="0" xfId="0" applyNumberFormat="1" applyAlignment="1" applyProtection="1">
      <alignment horizontal="center"/>
    </xf>
    <xf numFmtId="0" fontId="3" fillId="0" borderId="1" xfId="0" applyFont="1" applyBorder="1" applyProtection="1"/>
    <xf numFmtId="0" fontId="0" fillId="0" borderId="1" xfId="0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0" fillId="0" borderId="0" xfId="0" applyBorder="1" applyAlignment="1" applyProtection="1">
      <alignment horizontal="center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/>
    </xf>
    <xf numFmtId="0" fontId="6" fillId="0" borderId="6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left" vertical="center"/>
      <protection locked="0"/>
    </xf>
    <xf numFmtId="0" fontId="1" fillId="0" borderId="2" xfId="0" applyFont="1" applyBorder="1" applyProtection="1"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>
      <alignment horizontal="left" readingOrder="1"/>
    </xf>
    <xf numFmtId="0" fontId="9" fillId="0" borderId="1" xfId="0" applyFont="1" applyBorder="1" applyAlignment="1">
      <alignment horizontal="left" wrapText="1" readingOrder="1"/>
    </xf>
    <xf numFmtId="0" fontId="3" fillId="0" borderId="1" xfId="0" applyFont="1" applyBorder="1" applyAlignment="1" applyProtection="1">
      <alignment horizontal="center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</xf>
    <xf numFmtId="0" fontId="2" fillId="0" borderId="13" xfId="0" applyFont="1" applyBorder="1" applyAlignment="1" applyProtection="1">
      <alignment horizontal="left" vertical="center"/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ont="1" applyAlignment="1">
      <alignment horizontal="left"/>
    </xf>
    <xf numFmtId="0" fontId="6" fillId="0" borderId="1" xfId="0" applyFont="1" applyBorder="1" applyAlignment="1" applyProtection="1">
      <alignment horizontal="left" vertical="center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left" indent="1"/>
    </xf>
    <xf numFmtId="0" fontId="1" fillId="0" borderId="1" xfId="0" applyFont="1" applyFill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309562</xdr:colOff>
      <xdr:row>1</xdr:row>
      <xdr:rowOff>178593</xdr:rowOff>
    </xdr:from>
    <xdr:to>
      <xdr:col>7</xdr:col>
      <xdr:colOff>559594</xdr:colOff>
      <xdr:row>6</xdr:row>
      <xdr:rowOff>83344</xdr:rowOff>
    </xdr:to>
    <xdr:sp macro="" textlink="">
      <xdr:nvSpPr>
        <xdr:cNvPr id="2" name="TextBox 1"/>
        <xdr:cNvSpPr txBox="1"/>
      </xdr:nvSpPr>
      <xdr:spPr>
        <a:xfrm>
          <a:off x="3810000" y="440531"/>
          <a:ext cx="2952750" cy="12144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click</a:t>
          </a:r>
          <a:r>
            <a:rPr lang="en-US" sz="1100" baseline="0"/>
            <a:t> on the table to the left</a:t>
          </a:r>
        </a:p>
        <a:p>
          <a:endParaRPr lang="en-US" sz="1100" baseline="0"/>
        </a:p>
        <a:p>
          <a:r>
            <a:rPr lang="en-US" sz="1100" baseline="0"/>
            <a:t>select the options tab that appears at the top of the document</a:t>
          </a:r>
        </a:p>
        <a:p>
          <a:endParaRPr lang="en-US" sz="1100" baseline="0"/>
        </a:p>
        <a:p>
          <a:r>
            <a:rPr lang="en-US" sz="1100" baseline="0"/>
            <a:t>select refresh to access most recent results</a:t>
          </a:r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Tyler" refreshedDate="42038.572384490741" createdVersion="3" refreshedVersion="5" minRefreshableVersion="3" recordCount="93">
  <cacheSource type="worksheet">
    <worksheetSource ref="B3:I96" sheet="Climber Records"/>
  </cacheSource>
  <cacheFields count="8">
    <cacheField name="Paid" numFmtId="0">
      <sharedItems containsNonDate="0" containsBlank="1" count="5">
        <m/>
        <s v="NO" u="1"/>
        <s v="Y" u="1"/>
        <s v="YES" u="1"/>
        <s v="IAN" u="1"/>
      </sharedItems>
    </cacheField>
    <cacheField name="School" numFmtId="0">
      <sharedItems containsBlank="1"/>
    </cacheField>
    <cacheField name="Division-1" numFmtId="0">
      <sharedItems containsNonDate="0" containsBlank="1" count="11">
        <m/>
        <s v="WB" u="1"/>
        <s v="MA" u="1"/>
        <s v="A" u="1"/>
        <s v="AI" u="1"/>
        <s v="MI" u="1"/>
        <s v="WA" u="1"/>
        <s v="WI" u="1"/>
        <s v="I" u="1"/>
        <s v="B" u="1"/>
        <s v="MB" u="1"/>
      </sharedItems>
    </cacheField>
    <cacheField name="Gender, M/W" numFmtId="0">
      <sharedItems containsBlank="1" count="4">
        <s v="M"/>
        <s v="W"/>
        <m/>
        <s v="M " u="1"/>
      </sharedItems>
    </cacheField>
    <cacheField name="Climber Name" numFmtId="0">
      <sharedItems containsBlank="1" count="152">
        <s v="Ian Proud"/>
        <s v="Miranda Kelly"/>
        <s v="Sammi Werner"/>
        <s v="BoDean Messier"/>
        <s v="Burhan Qaddoumi"/>
        <s v="Andrew Zedosky"/>
        <s v="Matthew Reigle"/>
        <s v="Adam Kurg"/>
        <s v="Melissa Krug"/>
        <s v="Lauren Myers"/>
        <s v="Marisa Claggett"/>
        <s v="Adam Averbuch"/>
        <s v="Michael Walther"/>
        <s v="Brendon Riley"/>
        <s v="Kory Ancona"/>
        <s v="Jennesys Aviles"/>
        <s v="Alsadiq Fayadh"/>
        <s v="Dan Paredes"/>
        <s v="Andrew Dieck"/>
        <s v="Ryan Sager"/>
        <s v="Jacob Tannahill"/>
        <s v="Alison Mineronic"/>
        <s v="Roy Aizen"/>
        <s v="Alie Walt"/>
        <s v="J. Nicholas Orlando"/>
        <s v="Jacob Rudelson"/>
        <s v="Adrian Wint"/>
        <s v="Whitney Mech"/>
        <s v="Thao Lai"/>
        <s v="Eric Lam"/>
        <s v="Ryan Rue"/>
        <s v="Cameron Fox"/>
        <s v="Marko Durica"/>
        <s v="Rick Eastburn"/>
        <s v="Josh Vichere"/>
        <s v="Jeremy Vital"/>
        <s v="David Kassie"/>
        <s v="Morgan Ash"/>
        <s v="Chris Dailey"/>
        <s v="Ian Riley"/>
        <s v="Daniel Shanks"/>
        <s v="Andrez Murphy"/>
        <s v="Nicholas Galitzki"/>
        <s v="Katrina Hauck"/>
        <s v="Elizabeth Studer"/>
        <s v="David Spain"/>
        <s v="Angela Patini"/>
        <s v="Ashley Gaulding"/>
        <s v="Teresa Dabback"/>
        <s v="Alex Tighe"/>
        <s v="Cody Goldberg"/>
        <s v="Morgan Lapidus"/>
        <s v="Michael Kong"/>
        <s v="Ashley Xu"/>
        <s v="Pedram Vazifeh"/>
        <s v="Grace Icenogle"/>
        <s v="Tom Meehan"/>
        <s v="Austin Alexander"/>
        <s v="Karen Yee"/>
        <s v="Isaac Carrnghers"/>
        <s v="Kimberly Kuoch"/>
        <s v="Gabriel Schwartz"/>
        <s v="Dionisi "/>
        <s v="Steve Neff"/>
        <s v="Josh Dorr"/>
        <s v="Michael Wadsley"/>
        <m/>
        <s v="Brian Borja" u="1"/>
        <s v="Ethan Quanci" u="1"/>
        <s v="ALEC MANOUGIAN" u="1"/>
        <s v="Kate Norris" u="1"/>
        <s v="JORDAN SANDERS" u="1"/>
        <s v="CHADWICK EISMAN" u="1"/>
        <s v="AARON TINKLEMAN" u="1"/>
        <s v="VINCENT ROMETT" u="1"/>
        <s v="Adam Foizen" u="1"/>
        <s v="ALEX KERVYN" u="1"/>
        <s v="MATT LOPIANO" u="1"/>
        <s v="Kera Passante" u="1"/>
        <s v="ADRIENNE JUARASCIO" u="1"/>
        <s v="ANTONIO ALMEDA-LOPEZ" u="1"/>
        <s v="HANK" u="1"/>
        <s v="BO MESSIER" u="1"/>
        <s v="KORY BETH ANCONA" u="1"/>
        <s v="MARCUS GRANT" u="1"/>
        <s v="NATHANIAL APONTE" u="1"/>
        <s v="WAY" u="1"/>
        <s v="BRIDGET IVKOVICH" u="1"/>
        <s v="MIKE WODSLEY" u="1"/>
        <s v="Jack Wilke" u="1"/>
        <s v="Jack Higgins" u="1"/>
        <s v="Tyler Maruca" u="1"/>
        <s v="TYR HOLMSTROM" u="1"/>
        <s v="DYLAN FAIRFIELD" u="1"/>
        <s v="OLIVIA ARICO" u="1"/>
        <s v="DANIEL PAREDES" u="1"/>
        <s v="GRACE ISABELLE" u="1"/>
        <s v="MIKAELA WEGERHOFF" u="1"/>
        <s v="MIKAYLA WEGERHOFF" u="1"/>
        <s v="David Thorne" u="1"/>
        <s v="STEED HORNE" u="1"/>
        <s v="JOE" u="1"/>
        <s v="TAKANE SHOJI" u="1"/>
        <s v="Neil Castelino" u="1"/>
        <s v="MATT LOPINO" u="1"/>
        <s v="BEN SHAFFER" u="1"/>
        <s v="LEWIS KRANTZ" u="1"/>
        <s v="Carly Goldrich" u="1"/>
        <s v="JASON FERNANDES" u="1"/>
        <s v="HI" u="1"/>
        <s v="WILL" u="1"/>
        <s v="Sammie Warner" u="1"/>
        <s v="Michael Cunningham" u="1"/>
        <s v="ETHAN BITTON" u="1"/>
        <s v="KATHERINE ROGAN" u="1"/>
        <s v="RED" u="1"/>
        <s v="ALISON MINEROVIC" u="1"/>
        <s v="JANE" u="1"/>
        <s v="ZOEY STEINBERG" u="1"/>
        <s v="BILL" u="1"/>
        <s v="TOE" u="1"/>
        <s v="SEAN O'CONNOR" u="1"/>
        <s v="Ben Gotthold" u="1"/>
        <s v="OLEKSANDER KAROD" u="1"/>
        <s v="MIKE SANGILLO" u="1"/>
        <s v="SEAN GROCH" u="1"/>
        <s v="KRISTAPS KANCANS" u="1"/>
        <s v="MACKENZIE ABERNETHY" u="1"/>
        <s v="TIM BISMIK" u="1"/>
        <s v="AMBER SCHENKEL" u="1"/>
        <s v="MATT BUI" u="1"/>
        <s v="DAN" u="1"/>
        <s v="TYLER DEVILBISS" u="1"/>
        <s v="TIM MISNIK" u="1"/>
        <s v="TOM" u="1"/>
        <s v="ROSS ASKANAZI" u="1"/>
        <s v="WILL LITTY" u="1"/>
        <s v="MIKE CUNNINGHAM" u="1"/>
        <s v="FRANK" u="1"/>
        <s v="Zach Fox" u="1"/>
        <s v="JOHN HOWE" u="1"/>
        <s v="Tyler Dolgos" u="1"/>
        <s v="COOPER ZURAD" u="1"/>
        <s v="MIKE ZITO" u="1"/>
        <s v="ZUZANNA WOJCIESZAK" u="1"/>
        <s v="MIKE" u="1"/>
        <s v="LIAM GALLAGHER" u="1"/>
        <s v="COREY BETH ANCONA" u="1"/>
        <s v="Gabe Lorenz" u="1"/>
        <s v="KELLI KEARNS" u="1"/>
        <s v="TAYLOR CLARK" u="1"/>
        <s v="ZIP AUSTIN ALEXANDER" u="1"/>
      </sharedItems>
    </cacheField>
    <cacheField name="Division" numFmtId="0">
      <sharedItems count="7">
        <s v="MB"/>
        <s v="WB"/>
        <s v="WI"/>
        <s v="MI"/>
        <s v="MA"/>
        <s v="WA"/>
        <b v="0"/>
      </sharedItems>
    </cacheField>
    <cacheField name="Overall Ranking" numFmtId="0">
      <sharedItems containsSemiMixedTypes="0" containsString="0" containsNumber="1" containsInteger="1" minValue="1" maxValue="63"/>
    </cacheField>
    <cacheField name="Score Total" numFmtId="0">
      <sharedItems containsString="0" containsBlank="1" containsNumber="1" containsInteger="1" minValue="0" maxValue="343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3">
  <r>
    <x v="0"/>
    <s v="Drexel"/>
    <x v="0"/>
    <x v="0"/>
    <x v="0"/>
    <x v="0"/>
    <n v="60"/>
    <n v="885"/>
  </r>
  <r>
    <x v="0"/>
    <s v="Temple"/>
    <x v="0"/>
    <x v="1"/>
    <x v="1"/>
    <x v="1"/>
    <n v="54"/>
    <n v="1212"/>
  </r>
  <r>
    <x v="0"/>
    <s v="Drexel"/>
    <x v="0"/>
    <x v="1"/>
    <x v="2"/>
    <x v="2"/>
    <n v="39"/>
    <n v="1476"/>
  </r>
  <r>
    <x v="0"/>
    <s v="Drexel"/>
    <x v="0"/>
    <x v="0"/>
    <x v="3"/>
    <x v="3"/>
    <n v="24"/>
    <n v="2001"/>
  </r>
  <r>
    <x v="0"/>
    <s v="West Chester"/>
    <x v="0"/>
    <x v="0"/>
    <x v="4"/>
    <x v="4"/>
    <n v="9"/>
    <n v="2763"/>
  </r>
  <r>
    <x v="0"/>
    <s v="West Chester"/>
    <x v="0"/>
    <x v="0"/>
    <x v="5"/>
    <x v="4"/>
    <n v="8"/>
    <n v="2856"/>
  </r>
  <r>
    <x v="0"/>
    <s v="Temple"/>
    <x v="0"/>
    <x v="0"/>
    <x v="6"/>
    <x v="0"/>
    <n v="50"/>
    <n v="1271"/>
  </r>
  <r>
    <x v="0"/>
    <s v="None"/>
    <x v="0"/>
    <x v="0"/>
    <x v="7"/>
    <x v="0"/>
    <n v="49"/>
    <n v="1273"/>
  </r>
  <r>
    <x v="0"/>
    <s v="Temple"/>
    <x v="0"/>
    <x v="1"/>
    <x v="8"/>
    <x v="1"/>
    <n v="48"/>
    <n v="1299"/>
  </r>
  <r>
    <x v="0"/>
    <s v="West Chester"/>
    <x v="0"/>
    <x v="1"/>
    <x v="9"/>
    <x v="2"/>
    <n v="41"/>
    <n v="1436"/>
  </r>
  <r>
    <x v="0"/>
    <s v="West Chester"/>
    <x v="0"/>
    <x v="1"/>
    <x v="10"/>
    <x v="2"/>
    <n v="35"/>
    <n v="1593"/>
  </r>
  <r>
    <x v="0"/>
    <s v="Drexel"/>
    <x v="0"/>
    <x v="0"/>
    <x v="11"/>
    <x v="0"/>
    <n v="59"/>
    <n v="946"/>
  </r>
  <r>
    <x v="0"/>
    <s v="None"/>
    <x v="0"/>
    <x v="0"/>
    <x v="12"/>
    <x v="4"/>
    <n v="1"/>
    <n v="3434"/>
  </r>
  <r>
    <x v="0"/>
    <s v="West Chester"/>
    <x v="0"/>
    <x v="0"/>
    <x v="13"/>
    <x v="0"/>
    <n v="42"/>
    <n v="1390"/>
  </r>
  <r>
    <x v="0"/>
    <s v="Drexel"/>
    <x v="0"/>
    <x v="1"/>
    <x v="14"/>
    <x v="1"/>
    <n v="53"/>
    <n v="1216"/>
  </r>
  <r>
    <x v="0"/>
    <s v="Drexel"/>
    <x v="0"/>
    <x v="1"/>
    <x v="15"/>
    <x v="2"/>
    <n v="46"/>
    <n v="1330"/>
  </r>
  <r>
    <x v="0"/>
    <s v="Temple"/>
    <x v="0"/>
    <x v="0"/>
    <x v="16"/>
    <x v="0"/>
    <n v="38"/>
    <n v="1483"/>
  </r>
  <r>
    <x v="0"/>
    <s v="Temple"/>
    <x v="0"/>
    <x v="0"/>
    <x v="17"/>
    <x v="0"/>
    <n v="44"/>
    <n v="1350"/>
  </r>
  <r>
    <x v="0"/>
    <s v="Temple"/>
    <x v="0"/>
    <x v="0"/>
    <x v="18"/>
    <x v="0"/>
    <n v="56"/>
    <n v="1069"/>
  </r>
  <r>
    <x v="0"/>
    <s v="Temple"/>
    <x v="0"/>
    <x v="0"/>
    <x v="19"/>
    <x v="4"/>
    <n v="11"/>
    <n v="2505"/>
  </r>
  <r>
    <x v="0"/>
    <s v="Drexel"/>
    <x v="0"/>
    <x v="0"/>
    <x v="20"/>
    <x v="0"/>
    <n v="57"/>
    <n v="1060"/>
  </r>
  <r>
    <x v="0"/>
    <s v="Drexel"/>
    <x v="0"/>
    <x v="1"/>
    <x v="21"/>
    <x v="1"/>
    <n v="52"/>
    <n v="1256"/>
  </r>
  <r>
    <x v="0"/>
    <s v="Drexel"/>
    <x v="0"/>
    <x v="0"/>
    <x v="22"/>
    <x v="3"/>
    <n v="25"/>
    <n v="1905"/>
  </r>
  <r>
    <x v="0"/>
    <s v="IEP"/>
    <x v="0"/>
    <x v="1"/>
    <x v="23"/>
    <x v="1"/>
    <n v="62"/>
    <n v="844"/>
  </r>
  <r>
    <x v="0"/>
    <s v="IEP"/>
    <x v="0"/>
    <x v="0"/>
    <x v="24"/>
    <x v="0"/>
    <n v="40"/>
    <n v="1446"/>
  </r>
  <r>
    <x v="0"/>
    <s v="Drexel"/>
    <x v="0"/>
    <x v="0"/>
    <x v="25"/>
    <x v="0"/>
    <n v="61"/>
    <n v="880"/>
  </r>
  <r>
    <x v="0"/>
    <s v="Temple"/>
    <x v="0"/>
    <x v="0"/>
    <x v="26"/>
    <x v="3"/>
    <n v="14"/>
    <n v="2274"/>
  </r>
  <r>
    <x v="0"/>
    <s v="None"/>
    <x v="0"/>
    <x v="1"/>
    <x v="27"/>
    <x v="1"/>
    <n v="63"/>
    <n v="0"/>
  </r>
  <r>
    <x v="0"/>
    <s v="Temple"/>
    <x v="0"/>
    <x v="1"/>
    <x v="28"/>
    <x v="1"/>
    <n v="63"/>
    <n v="0"/>
  </r>
  <r>
    <x v="0"/>
    <s v="Drexel"/>
    <x v="0"/>
    <x v="0"/>
    <x v="29"/>
    <x v="3"/>
    <n v="31"/>
    <n v="1726"/>
  </r>
  <r>
    <x v="0"/>
    <s v="Drexel"/>
    <x v="0"/>
    <x v="0"/>
    <x v="30"/>
    <x v="3"/>
    <n v="19"/>
    <n v="2090"/>
  </r>
  <r>
    <x v="0"/>
    <s v="Drexel "/>
    <x v="0"/>
    <x v="0"/>
    <x v="31"/>
    <x v="0"/>
    <n v="58"/>
    <n v="1019"/>
  </r>
  <r>
    <x v="0"/>
    <s v="Drexel"/>
    <x v="0"/>
    <x v="0"/>
    <x v="32"/>
    <x v="0"/>
    <n v="55"/>
    <n v="1086"/>
  </r>
  <r>
    <x v="0"/>
    <s v="Drexel"/>
    <x v="0"/>
    <x v="0"/>
    <x v="33"/>
    <x v="0"/>
    <n v="43"/>
    <n v="1370"/>
  </r>
  <r>
    <x v="0"/>
    <s v="None"/>
    <x v="0"/>
    <x v="0"/>
    <x v="34"/>
    <x v="0"/>
    <n v="37"/>
    <n v="1504"/>
  </r>
  <r>
    <x v="0"/>
    <s v="Drexel"/>
    <x v="0"/>
    <x v="0"/>
    <x v="35"/>
    <x v="3"/>
    <n v="27"/>
    <n v="1870"/>
  </r>
  <r>
    <x v="0"/>
    <s v="Drexel"/>
    <x v="0"/>
    <x v="0"/>
    <x v="36"/>
    <x v="3"/>
    <n v="12"/>
    <n v="2415"/>
  </r>
  <r>
    <x v="0"/>
    <s v="Temple"/>
    <x v="0"/>
    <x v="0"/>
    <x v="37"/>
    <x v="0"/>
    <n v="51"/>
    <n v="1260"/>
  </r>
  <r>
    <x v="0"/>
    <s v="Temple"/>
    <x v="0"/>
    <x v="0"/>
    <x v="38"/>
    <x v="3"/>
    <n v="16"/>
    <n v="2187"/>
  </r>
  <r>
    <x v="0"/>
    <s v="Drexel"/>
    <x v="0"/>
    <x v="0"/>
    <x v="39"/>
    <x v="0"/>
    <n v="36"/>
    <n v="1551"/>
  </r>
  <r>
    <x v="0"/>
    <s v="Penn"/>
    <x v="0"/>
    <x v="0"/>
    <x v="40"/>
    <x v="3"/>
    <n v="17"/>
    <n v="2181"/>
  </r>
  <r>
    <x v="0"/>
    <s v="Drexel"/>
    <x v="0"/>
    <x v="0"/>
    <x v="41"/>
    <x v="3"/>
    <n v="28"/>
    <n v="1868"/>
  </r>
  <r>
    <x v="0"/>
    <s v="West Chester"/>
    <x v="0"/>
    <x v="0"/>
    <x v="42"/>
    <x v="3"/>
    <n v="19"/>
    <n v="2090"/>
  </r>
  <r>
    <x v="0"/>
    <s v="Temple"/>
    <x v="0"/>
    <x v="1"/>
    <x v="43"/>
    <x v="2"/>
    <n v="47"/>
    <n v="1317"/>
  </r>
  <r>
    <x v="0"/>
    <s v="Temple"/>
    <x v="0"/>
    <x v="1"/>
    <x v="44"/>
    <x v="2"/>
    <n v="29"/>
    <n v="1733"/>
  </r>
  <r>
    <x v="0"/>
    <s v="Penn"/>
    <x v="0"/>
    <x v="0"/>
    <x v="45"/>
    <x v="0"/>
    <n v="63"/>
    <m/>
  </r>
  <r>
    <x v="0"/>
    <s v="Penn"/>
    <x v="0"/>
    <x v="1"/>
    <x v="46"/>
    <x v="5"/>
    <n v="4"/>
    <n v="3111"/>
  </r>
  <r>
    <x v="0"/>
    <s v="West Chester"/>
    <x v="0"/>
    <x v="1"/>
    <x v="47"/>
    <x v="2"/>
    <n v="32"/>
    <n v="1710"/>
  </r>
  <r>
    <x v="0"/>
    <s v="Temple"/>
    <x v="0"/>
    <x v="1"/>
    <x v="48"/>
    <x v="2"/>
    <n v="30"/>
    <n v="1732"/>
  </r>
  <r>
    <x v="0"/>
    <s v="Temple"/>
    <x v="0"/>
    <x v="0"/>
    <x v="49"/>
    <x v="3"/>
    <n v="23"/>
    <n v="2011"/>
  </r>
  <r>
    <x v="0"/>
    <s v="Temple"/>
    <x v="0"/>
    <x v="0"/>
    <x v="50"/>
    <x v="0"/>
    <n v="45"/>
    <n v="1348"/>
  </r>
  <r>
    <x v="0"/>
    <s v="Temple"/>
    <x v="0"/>
    <x v="1"/>
    <x v="51"/>
    <x v="2"/>
    <n v="34"/>
    <n v="1628"/>
  </r>
  <r>
    <x v="0"/>
    <s v="Temple"/>
    <x v="0"/>
    <x v="0"/>
    <x v="52"/>
    <x v="4"/>
    <n v="10"/>
    <n v="2519"/>
  </r>
  <r>
    <x v="0"/>
    <s v="Temple"/>
    <x v="0"/>
    <x v="1"/>
    <x v="53"/>
    <x v="2"/>
    <n v="21"/>
    <n v="2055"/>
  </r>
  <r>
    <x v="0"/>
    <s v="Drexel"/>
    <x v="0"/>
    <x v="0"/>
    <x v="54"/>
    <x v="4"/>
    <n v="6"/>
    <n v="3009"/>
  </r>
  <r>
    <x v="0"/>
    <s v="Temple"/>
    <x v="0"/>
    <x v="1"/>
    <x v="55"/>
    <x v="5"/>
    <n v="13"/>
    <n v="2305"/>
  </r>
  <r>
    <x v="0"/>
    <s v="None"/>
    <x v="0"/>
    <x v="0"/>
    <x v="56"/>
    <x v="4"/>
    <n v="2"/>
    <n v="3390"/>
  </r>
  <r>
    <x v="0"/>
    <s v="Drexel"/>
    <x v="0"/>
    <x v="0"/>
    <x v="57"/>
    <x v="3"/>
    <n v="15"/>
    <n v="2188"/>
  </r>
  <r>
    <x v="0"/>
    <s v="Drexel"/>
    <x v="0"/>
    <x v="1"/>
    <x v="58"/>
    <x v="2"/>
    <n v="25"/>
    <n v="1905"/>
  </r>
  <r>
    <x v="0"/>
    <m/>
    <x v="0"/>
    <x v="0"/>
    <x v="59"/>
    <x v="4"/>
    <n v="7"/>
    <n v="2921"/>
  </r>
  <r>
    <x v="0"/>
    <s v="West Chester"/>
    <x v="0"/>
    <x v="1"/>
    <x v="60"/>
    <x v="5"/>
    <n v="18"/>
    <n v="2101"/>
  </r>
  <r>
    <x v="0"/>
    <s v="Drexel"/>
    <x v="0"/>
    <x v="0"/>
    <x v="61"/>
    <x v="4"/>
    <n v="5"/>
    <n v="3012"/>
  </r>
  <r>
    <x v="0"/>
    <s v="Drexel"/>
    <x v="0"/>
    <x v="0"/>
    <x v="62"/>
    <x v="0"/>
    <n v="63"/>
    <n v="0"/>
  </r>
  <r>
    <x v="0"/>
    <s v="None"/>
    <x v="0"/>
    <x v="0"/>
    <x v="63"/>
    <x v="4"/>
    <n v="3"/>
    <n v="3388"/>
  </r>
  <r>
    <x v="0"/>
    <s v="Temple"/>
    <x v="0"/>
    <x v="0"/>
    <x v="64"/>
    <x v="3"/>
    <n v="22"/>
    <n v="2050"/>
  </r>
  <r>
    <x v="0"/>
    <s v="Temple"/>
    <x v="0"/>
    <x v="0"/>
    <x v="65"/>
    <x v="3"/>
    <n v="33"/>
    <n v="1682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  <r>
    <x v="0"/>
    <m/>
    <x v="0"/>
    <x v="2"/>
    <x v="66"/>
    <x v="6"/>
    <n v="63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6" cacheId="14" applyNumberFormats="0" applyBorderFormats="0" applyFontFormats="0" applyPatternFormats="0" applyAlignmentFormats="0" applyWidthHeightFormats="1" dataCaption="Values" updatedVersion="5" minRefreshableVersion="3" showCalcMbrs="0" useAutoFormatting="1" rowGrandTotals="0" itemPrintTitles="1" createdVersion="3" indent="0" outline="1" outlineData="1" multipleFieldFilters="0">
  <location ref="B6:C80" firstHeaderRow="1" firstDataRow="1" firstDataCol="1" rowPageCount="3" colPageCount="1"/>
  <pivotFields count="8">
    <pivotField axis="axisPage" showAll="0">
      <items count="6">
        <item m="1" x="1"/>
        <item m="1" x="3"/>
        <item x="0"/>
        <item m="1" x="2"/>
        <item m="1" x="4"/>
        <item t="default"/>
      </items>
    </pivotField>
    <pivotField showAll="0"/>
    <pivotField axis="axisPage" showAll="0" defaultSubtotal="0">
      <items count="11">
        <item m="1" x="10"/>
        <item x="0"/>
        <item m="1" x="5"/>
        <item m="1" x="2"/>
        <item m="1" x="6"/>
        <item m="1" x="4"/>
        <item m="1" x="7"/>
        <item m="1" x="1"/>
        <item m="1" x="9"/>
        <item m="1" x="3"/>
        <item m="1" x="8"/>
      </items>
    </pivotField>
    <pivotField axis="axisPage" showAll="0">
      <items count="5">
        <item x="0"/>
        <item x="1"/>
        <item x="2"/>
        <item m="1" x="3"/>
        <item t="default"/>
      </items>
    </pivotField>
    <pivotField axis="axisRow" showAll="0" sortType="descending">
      <items count="153">
        <item m="1" x="73"/>
        <item m="1" x="79"/>
        <item m="1" x="69"/>
        <item m="1" x="76"/>
        <item m="1" x="116"/>
        <item m="1" x="129"/>
        <item x="5"/>
        <item x="46"/>
        <item x="47"/>
        <item x="53"/>
        <item x="57"/>
        <item m="1" x="122"/>
        <item m="1" x="105"/>
        <item m="1" x="119"/>
        <item m="1" x="82"/>
        <item x="13"/>
        <item m="1" x="67"/>
        <item m="1" x="87"/>
        <item m="1" x="107"/>
        <item m="1" x="72"/>
        <item m="1" x="142"/>
        <item m="1" x="147"/>
        <item m="1" x="131"/>
        <item m="1" x="95"/>
        <item x="40"/>
        <item m="1" x="99"/>
        <item m="1" x="93"/>
        <item m="1" x="113"/>
        <item m="1" x="68"/>
        <item m="1" x="138"/>
        <item m="1" x="148"/>
        <item x="55"/>
        <item m="1" x="81"/>
        <item m="1" x="109"/>
        <item x="0"/>
        <item x="39"/>
        <item m="1" x="90"/>
        <item m="1" x="89"/>
        <item x="25"/>
        <item m="1" x="117"/>
        <item m="1" x="108"/>
        <item x="35"/>
        <item m="1" x="101"/>
        <item m="1" x="140"/>
        <item m="1" x="71"/>
        <item x="58"/>
        <item m="1" x="70"/>
        <item m="1" x="114"/>
        <item m="1" x="149"/>
        <item m="1" x="126"/>
        <item m="1" x="106"/>
        <item m="1" x="146"/>
        <item m="1" x="127"/>
        <item m="1" x="84"/>
        <item x="10"/>
        <item m="1" x="130"/>
        <item m="1" x="104"/>
        <item m="1" x="112"/>
        <item x="65"/>
        <item x="12"/>
        <item m="1" x="98"/>
        <item m="1" x="145"/>
        <item m="1" x="137"/>
        <item m="1" x="124"/>
        <item m="1" x="88"/>
        <item m="1" x="143"/>
        <item x="37"/>
        <item x="51"/>
        <item m="1" x="85"/>
        <item m="1" x="103"/>
        <item m="1" x="123"/>
        <item m="1" x="94"/>
        <item m="1" x="115"/>
        <item m="1" x="135"/>
        <item x="30"/>
        <item x="19"/>
        <item m="1" x="111"/>
        <item m="1" x="125"/>
        <item m="1" x="121"/>
        <item m="1" x="100"/>
        <item x="63"/>
        <item m="1" x="102"/>
        <item m="1" x="150"/>
        <item x="48"/>
        <item m="1" x="128"/>
        <item m="1" x="120"/>
        <item m="1" x="134"/>
        <item m="1" x="132"/>
        <item m="1" x="141"/>
        <item m="1" x="91"/>
        <item m="1" x="92"/>
        <item m="1" x="74"/>
        <item m="1" x="86"/>
        <item m="1" x="110"/>
        <item m="1" x="136"/>
        <item m="1" x="139"/>
        <item m="1" x="151"/>
        <item m="1" x="144"/>
        <item x="66"/>
        <item m="1" x="83"/>
        <item x="49"/>
        <item m="1" x="96"/>
        <item m="1" x="118"/>
        <item m="1" x="80"/>
        <item m="1" x="77"/>
        <item m="1" x="133"/>
        <item m="1" x="97"/>
        <item x="1"/>
        <item x="2"/>
        <item x="3"/>
        <item x="4"/>
        <item x="6"/>
        <item x="7"/>
        <item x="8"/>
        <item x="9"/>
        <item x="11"/>
        <item x="14"/>
        <item x="15"/>
        <item x="16"/>
        <item x="17"/>
        <item x="18"/>
        <item x="20"/>
        <item x="21"/>
        <item x="22"/>
        <item x="23"/>
        <item x="24"/>
        <item x="26"/>
        <item x="27"/>
        <item x="28"/>
        <item x="29"/>
        <item x="31"/>
        <item x="32"/>
        <item x="33"/>
        <item x="34"/>
        <item x="52"/>
        <item x="36"/>
        <item x="38"/>
        <item x="41"/>
        <item x="42"/>
        <item x="43"/>
        <item x="44"/>
        <item x="45"/>
        <item m="1" x="75"/>
        <item m="1" x="78"/>
        <item x="50"/>
        <item x="54"/>
        <item x="56"/>
        <item x="59"/>
        <item x="60"/>
        <item x="61"/>
        <item x="62"/>
        <item x="6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 sortType="descending">
      <items count="8">
        <item x="4"/>
        <item x="0"/>
        <item x="3"/>
        <item x="5"/>
        <item x="1"/>
        <item x="2"/>
        <item x="6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dataField="1" showAll="0"/>
  </pivotFields>
  <rowFields count="2">
    <field x="5"/>
    <field x="4"/>
  </rowFields>
  <rowItems count="74">
    <i>
      <x v="2"/>
    </i>
    <i r="1">
      <x v="135"/>
    </i>
    <i r="1">
      <x v="126"/>
    </i>
    <i r="1">
      <x v="10"/>
    </i>
    <i r="1">
      <x v="136"/>
    </i>
    <i r="1">
      <x v="24"/>
    </i>
    <i r="1">
      <x v="74"/>
    </i>
    <i r="1">
      <x v="138"/>
    </i>
    <i r="1">
      <x v="151"/>
    </i>
    <i r="1">
      <x v="100"/>
    </i>
    <i r="1">
      <x v="109"/>
    </i>
    <i r="1">
      <x v="123"/>
    </i>
    <i r="1">
      <x v="41"/>
    </i>
    <i r="1">
      <x v="137"/>
    </i>
    <i r="1">
      <x v="129"/>
    </i>
    <i r="1">
      <x v="58"/>
    </i>
    <i>
      <x/>
    </i>
    <i r="1">
      <x v="59"/>
    </i>
    <i r="1">
      <x v="146"/>
    </i>
    <i r="1">
      <x v="80"/>
    </i>
    <i r="1">
      <x v="149"/>
    </i>
    <i r="1">
      <x v="145"/>
    </i>
    <i r="1">
      <x v="147"/>
    </i>
    <i r="1">
      <x v="6"/>
    </i>
    <i r="1">
      <x v="110"/>
    </i>
    <i r="1">
      <x v="134"/>
    </i>
    <i r="1">
      <x v="75"/>
    </i>
    <i>
      <x v="1"/>
    </i>
    <i r="1">
      <x v="35"/>
    </i>
    <i r="1">
      <x v="133"/>
    </i>
    <i r="1">
      <x v="118"/>
    </i>
    <i r="1">
      <x v="125"/>
    </i>
    <i r="1">
      <x v="15"/>
    </i>
    <i r="1">
      <x v="132"/>
    </i>
    <i r="1">
      <x v="119"/>
    </i>
    <i r="1">
      <x v="144"/>
    </i>
    <i r="1">
      <x v="112"/>
    </i>
    <i r="1">
      <x v="111"/>
    </i>
    <i r="1">
      <x v="66"/>
    </i>
    <i r="1">
      <x v="131"/>
    </i>
    <i r="1">
      <x v="120"/>
    </i>
    <i r="1">
      <x v="121"/>
    </i>
    <i r="1">
      <x v="130"/>
    </i>
    <i r="1">
      <x v="115"/>
    </i>
    <i r="1">
      <x v="34"/>
    </i>
    <i r="1">
      <x v="38"/>
    </i>
    <i r="1">
      <x v="150"/>
    </i>
    <i r="1">
      <x v="141"/>
    </i>
    <i>
      <x v="5"/>
    </i>
    <i r="1">
      <x v="9"/>
    </i>
    <i r="1">
      <x v="45"/>
    </i>
    <i r="1">
      <x v="140"/>
    </i>
    <i r="1">
      <x v="83"/>
    </i>
    <i r="1">
      <x v="8"/>
    </i>
    <i r="1">
      <x v="67"/>
    </i>
    <i r="1">
      <x v="54"/>
    </i>
    <i r="1">
      <x v="108"/>
    </i>
    <i r="1">
      <x v="114"/>
    </i>
    <i r="1">
      <x v="117"/>
    </i>
    <i r="1">
      <x v="139"/>
    </i>
    <i>
      <x v="3"/>
    </i>
    <i r="1">
      <x v="7"/>
    </i>
    <i r="1">
      <x v="31"/>
    </i>
    <i r="1">
      <x v="148"/>
    </i>
    <i>
      <x v="4"/>
    </i>
    <i r="1">
      <x v="113"/>
    </i>
    <i r="1">
      <x v="122"/>
    </i>
    <i r="1">
      <x v="116"/>
    </i>
    <i r="1">
      <x v="107"/>
    </i>
    <i r="1">
      <x v="124"/>
    </i>
    <i r="1">
      <x v="128"/>
    </i>
    <i r="1">
      <x v="127"/>
    </i>
    <i>
      <x v="6"/>
    </i>
    <i r="1">
      <x v="98"/>
    </i>
  </rowItems>
  <colItems count="1">
    <i/>
  </colItems>
  <pageFields count="3">
    <pageField fld="3" hier="-1"/>
    <pageField fld="0" hier="-1"/>
    <pageField fld="2" hier="-1"/>
  </pageFields>
  <dataFields count="1">
    <dataField name="Sum of Score Total" fld="7" baseField="0" baseItem="0"/>
  </dataFields>
  <pivotTableStyleInfo name="PivotStyleMedium8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BR96"/>
  <sheetViews>
    <sheetView zoomScale="60" zoomScaleNormal="60" zoomScalePageLayoutView="60" workbookViewId="0">
      <pane xSplit="9" ySplit="3" topLeftCell="J28" activePane="bottomRight" state="frozen"/>
      <selection pane="topRight" activeCell="E1" sqref="E1"/>
      <selection pane="bottomLeft" activeCell="A3" sqref="A3"/>
      <selection pane="bottomRight" activeCell="I14" sqref="I14"/>
    </sheetView>
  </sheetViews>
  <sheetFormatPr defaultColWidth="8.85546875" defaultRowHeight="15" x14ac:dyDescent="0.25"/>
  <cols>
    <col min="1" max="1" width="3.7109375" customWidth="1"/>
    <col min="2" max="2" width="10.42578125" bestFit="1" customWidth="1"/>
    <col min="3" max="3" width="19" bestFit="1" customWidth="1"/>
    <col min="4" max="4" width="16.28515625" customWidth="1"/>
    <col min="5" max="5" width="24" customWidth="1"/>
    <col min="6" max="6" width="32.85546875" customWidth="1"/>
    <col min="7" max="9" width="24" customWidth="1"/>
    <col min="10" max="10" width="16.28515625" customWidth="1"/>
    <col min="11" max="11" width="12.42578125" customWidth="1"/>
    <col min="12" max="12" width="11.42578125" customWidth="1"/>
    <col min="13" max="13" width="12" customWidth="1"/>
    <col min="14" max="14" width="12.7109375" customWidth="1"/>
    <col min="16" max="16" width="12" bestFit="1" customWidth="1"/>
  </cols>
  <sheetData>
    <row r="1" spans="1:70" s="1" customFormat="1" x14ac:dyDescent="0.25"/>
    <row r="2" spans="1:70" s="1" customFormat="1" ht="68.25" customHeight="1" x14ac:dyDescent="0.25">
      <c r="B2" s="58" t="s">
        <v>55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9"/>
    </row>
    <row r="3" spans="1:70" s="7" customFormat="1" ht="23.25" x14ac:dyDescent="0.35">
      <c r="B3" s="10" t="s">
        <v>78</v>
      </c>
      <c r="C3" s="11" t="s">
        <v>52</v>
      </c>
      <c r="D3" s="42" t="s">
        <v>84</v>
      </c>
      <c r="E3" s="11" t="s">
        <v>76</v>
      </c>
      <c r="F3" s="42" t="s">
        <v>53</v>
      </c>
      <c r="G3" s="11" t="s">
        <v>62</v>
      </c>
      <c r="H3" s="11" t="s">
        <v>75</v>
      </c>
      <c r="I3" s="11" t="s">
        <v>54</v>
      </c>
      <c r="J3" s="57" t="s">
        <v>74</v>
      </c>
      <c r="K3" s="57"/>
      <c r="L3" s="57"/>
      <c r="M3" s="57"/>
      <c r="N3" s="57"/>
      <c r="O3" s="6"/>
      <c r="P3" s="6"/>
      <c r="Q3" s="6"/>
      <c r="R3" s="6"/>
    </row>
    <row r="4" spans="1:70" s="1" customFormat="1" ht="21" x14ac:dyDescent="0.35">
      <c r="B4" s="4"/>
      <c r="C4" s="40" t="s">
        <v>125</v>
      </c>
      <c r="D4" s="2"/>
      <c r="E4" s="45" t="s">
        <v>12</v>
      </c>
      <c r="F4" s="2" t="s">
        <v>144</v>
      </c>
      <c r="G4" s="41" t="str">
        <f>IF(E4=M,IF(I4&lt;=MBP,MB,IF(I4&lt;=MIP,MI,MA)),IF(E4=W,IF(I4&lt;=WBP,WB,IF(I4&lt;=WIP,WI,WA))))</f>
        <v>MB</v>
      </c>
      <c r="H4" s="9">
        <f>RANK(I4,$I$4:$I$96,0)</f>
        <v>59</v>
      </c>
      <c r="I4" s="23">
        <f>CEILING(SUM(LARGE(J4:BI4,{1,2,3,4,5})),1)</f>
        <v>946</v>
      </c>
      <c r="J4" s="12">
        <f>ZP*F</f>
        <v>253.00000000000003</v>
      </c>
      <c r="K4" s="12">
        <f>ZL*F</f>
        <v>286</v>
      </c>
      <c r="L4" s="12">
        <f>ZBB*F</f>
        <v>407.00000000000006</v>
      </c>
      <c r="M4" s="12">
        <v>0</v>
      </c>
      <c r="N4" s="12">
        <v>0</v>
      </c>
      <c r="O4" s="3"/>
      <c r="P4" s="3"/>
      <c r="Q4" s="3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</row>
    <row r="5" spans="1:70" s="1" customFormat="1" ht="21" x14ac:dyDescent="0.35">
      <c r="B5" s="4"/>
      <c r="C5" s="44" t="s">
        <v>140</v>
      </c>
      <c r="D5" s="46"/>
      <c r="E5" s="45" t="s">
        <v>12</v>
      </c>
      <c r="F5" s="47" t="s">
        <v>138</v>
      </c>
      <c r="G5" s="41" t="str">
        <f>IF(E5=M,IF(I5&lt;=MBP,MB,IF(I5&lt;=MIP,MI,MA)),IF(E5=W,IF(I5&lt;=WBP,WB,IF(I5&lt;=WIP,WI,WA))))</f>
        <v>MB</v>
      </c>
      <c r="H5" s="9">
        <f>RANK(I5,$I$4:$I$96,0)</f>
        <v>49</v>
      </c>
      <c r="I5" s="23">
        <f>CEILING(SUM(LARGE(J5:BI5,{1,2,3,4,5})),1)</f>
        <v>1273</v>
      </c>
      <c r="J5" s="12">
        <f>ZY*F</f>
        <v>209.00000000000003</v>
      </c>
      <c r="K5" s="12">
        <f>ZA</f>
        <v>200</v>
      </c>
      <c r="L5" s="12">
        <f>ZW*F</f>
        <v>187.00000000000003</v>
      </c>
      <c r="M5" s="12">
        <f>ZBB*F</f>
        <v>407.00000000000006</v>
      </c>
      <c r="N5" s="12">
        <f>ZV*F</f>
        <v>269.5</v>
      </c>
      <c r="O5" s="3"/>
      <c r="P5" s="3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</row>
    <row r="6" spans="1:70" s="1" customFormat="1" ht="21" x14ac:dyDescent="0.35">
      <c r="B6" s="4"/>
      <c r="C6" s="44" t="s">
        <v>124</v>
      </c>
      <c r="D6" s="4"/>
      <c r="E6" s="45" t="s">
        <v>12</v>
      </c>
      <c r="F6" s="2" t="s">
        <v>160</v>
      </c>
      <c r="G6" s="41" t="str">
        <f>IF(E6=M,IF(I6&lt;=MBP,MB,IF(I6&lt;=MIP,MI,MA)),IF(E6=W,IF(I6&lt;=WBP,WB,IF(I6&lt;=WIP,WI,WA))))</f>
        <v>MI</v>
      </c>
      <c r="H6" s="9">
        <f>RANK(I6,$I$4:$I$96,0)</f>
        <v>14</v>
      </c>
      <c r="I6" s="23">
        <f>CEILING(SUM(LARGE(J6:BI6,{1,2,3,4,5})),1)</f>
        <v>2274</v>
      </c>
      <c r="J6" s="12">
        <f>ZD*F</f>
        <v>484.00000000000006</v>
      </c>
      <c r="K6" s="12">
        <f>ZI</f>
        <v>590</v>
      </c>
      <c r="L6" s="12">
        <f>ZF</f>
        <v>550</v>
      </c>
      <c r="M6" s="12">
        <f>ZH</f>
        <v>650</v>
      </c>
      <c r="N6" s="12">
        <v>0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</row>
    <row r="7" spans="1:70" s="1" customFormat="1" ht="21" x14ac:dyDescent="0.35">
      <c r="B7" s="4"/>
      <c r="C7" s="44" t="s">
        <v>124</v>
      </c>
      <c r="D7" s="46"/>
      <c r="E7" s="45" t="s">
        <v>12</v>
      </c>
      <c r="F7" s="47" t="s">
        <v>187</v>
      </c>
      <c r="G7" s="41" t="str">
        <f>IF(E7=M,IF(I7&lt;=MBP,MB,IF(I7&lt;=MIP,MI,MA)),IF(E7=W,IF(I7&lt;=WBP,WB,IF(I7&lt;=WIP,WI,WA))))</f>
        <v>MI</v>
      </c>
      <c r="H7" s="9">
        <f>RANK(I7,$I$4:$I$96,0)</f>
        <v>23</v>
      </c>
      <c r="I7" s="23">
        <f>CEILING(SUM(LARGE(J7:BI7,{1,2,3,4,5})),1)</f>
        <v>2011</v>
      </c>
      <c r="J7" s="12">
        <f>ZBB*F</f>
        <v>407.00000000000006</v>
      </c>
      <c r="K7" s="12">
        <f>ZO</f>
        <v>300</v>
      </c>
      <c r="L7" s="12">
        <f>ZJ*F</f>
        <v>423.50000000000006</v>
      </c>
      <c r="M7" s="12">
        <f>ZD</f>
        <v>440</v>
      </c>
      <c r="N7" s="12">
        <f>ZN*F</f>
        <v>440.00000000000006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</row>
    <row r="8" spans="1:70" s="1" customFormat="1" ht="21" x14ac:dyDescent="0.35">
      <c r="B8" s="4"/>
      <c r="C8" s="40" t="s">
        <v>157</v>
      </c>
      <c r="D8" s="2"/>
      <c r="E8" s="45" t="s">
        <v>22</v>
      </c>
      <c r="F8" s="2" t="s">
        <v>156</v>
      </c>
      <c r="G8" s="41" t="str">
        <f>IF(E8=M,IF(I8&lt;=MBP,MB,IF(I8&lt;=MIP,MI,MA)),IF(E8=W,IF(I8&lt;=WBP,WB,IF(I8&lt;=WIP,WI,WA))))</f>
        <v>WB</v>
      </c>
      <c r="H8" s="9">
        <f>RANK(I8,$I$4:$I$96,0)</f>
        <v>62</v>
      </c>
      <c r="I8" s="23">
        <f>CEILING(SUM(LARGE(J8:BI8,{1,2,3,4,5})),1)</f>
        <v>844</v>
      </c>
      <c r="J8" s="12">
        <f>ZY*F</f>
        <v>209.00000000000003</v>
      </c>
      <c r="K8" s="12">
        <f>ZC*F</f>
        <v>165</v>
      </c>
      <c r="L8" s="12">
        <f>ZA</f>
        <v>200</v>
      </c>
      <c r="M8" s="12">
        <f>ZV*F</f>
        <v>269.5</v>
      </c>
      <c r="N8" s="12">
        <v>0</v>
      </c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</row>
    <row r="9" spans="1:70" s="1" customFormat="1" ht="21" x14ac:dyDescent="0.35">
      <c r="B9" s="4"/>
      <c r="C9" s="44" t="s">
        <v>154</v>
      </c>
      <c r="D9" s="46"/>
      <c r="E9" s="45" t="s">
        <v>22</v>
      </c>
      <c r="F9" s="47" t="s">
        <v>153</v>
      </c>
      <c r="G9" s="41" t="str">
        <f>IF(E9=M,IF(I9&lt;=MBP,MB,IF(I9&lt;=MIP,MI,MA)),IF(E9=W,IF(I9&lt;=WBP,WB,IF(I9&lt;=WIP,WI,WA))))</f>
        <v>WB</v>
      </c>
      <c r="H9" s="9">
        <f>RANK(I9,$I$4:$I$96,0)</f>
        <v>52</v>
      </c>
      <c r="I9" s="23">
        <f>CEILING(SUM(LARGE(J9:BI9,{1,2,3,4,5})),1)</f>
        <v>1256</v>
      </c>
      <c r="J9" s="12">
        <f>ZV*F</f>
        <v>269.5</v>
      </c>
      <c r="K9" s="12">
        <f>ZO*F</f>
        <v>330</v>
      </c>
      <c r="L9" s="12">
        <f>ZL</f>
        <v>260</v>
      </c>
      <c r="M9" s="12">
        <f>ZW*F</f>
        <v>187.00000000000003</v>
      </c>
      <c r="N9" s="12">
        <f>ZY*F</f>
        <v>209.00000000000003</v>
      </c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</row>
    <row r="10" spans="1:70" s="1" customFormat="1" ht="21" x14ac:dyDescent="0.35">
      <c r="B10" s="4"/>
      <c r="C10" s="44" t="s">
        <v>124</v>
      </c>
      <c r="D10" s="46"/>
      <c r="E10" s="45" t="s">
        <v>12</v>
      </c>
      <c r="F10" s="47" t="s">
        <v>148</v>
      </c>
      <c r="G10" s="41" t="str">
        <f>IF(E10=M,IF(I10&lt;=MBP,MB,IF(I10&lt;=MIP,MI,MA)),IF(E10=W,IF(I10&lt;=WBP,WB,IF(I10&lt;=WIP,WI,WA))))</f>
        <v>MB</v>
      </c>
      <c r="H10" s="9">
        <f>RANK(I10,$I$4:$I$96,0)</f>
        <v>38</v>
      </c>
      <c r="I10" s="23">
        <f>CEILING(SUM(LARGE(J10:BI10,{1,2,3,4,5})),1)</f>
        <v>1483</v>
      </c>
      <c r="J10" s="12">
        <f>ZV*F</f>
        <v>269.5</v>
      </c>
      <c r="K10" s="12">
        <f>ZL</f>
        <v>260</v>
      </c>
      <c r="L10" s="12">
        <f>ZBB</f>
        <v>370</v>
      </c>
      <c r="M10" s="12">
        <f>ZP*F</f>
        <v>253.00000000000003</v>
      </c>
      <c r="N10" s="12">
        <f>ZO*F</f>
        <v>330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</row>
    <row r="11" spans="1:70" s="1" customFormat="1" ht="21" x14ac:dyDescent="0.35">
      <c r="B11" s="4"/>
      <c r="C11" s="40" t="s">
        <v>124</v>
      </c>
      <c r="D11" s="2"/>
      <c r="E11" s="45" t="s">
        <v>12</v>
      </c>
      <c r="F11" s="2" t="s">
        <v>150</v>
      </c>
      <c r="G11" s="41" t="str">
        <f>IF(E11=M,IF(I11&lt;=MBP,MB,IF(I11&lt;=MIP,MI,MA)),IF(E11=W,IF(I11&lt;=WBP,WB,IF(I11&lt;=WIP,WI,WA))))</f>
        <v>MB</v>
      </c>
      <c r="H11" s="9">
        <f>RANK(I11,$I$4:$I$96,0)</f>
        <v>56</v>
      </c>
      <c r="I11" s="23">
        <f>CEILING(SUM(LARGE(J11:BI11,{1,2,3,4,5})),1)</f>
        <v>1069</v>
      </c>
      <c r="J11" s="12">
        <f>ZY*F</f>
        <v>209.00000000000003</v>
      </c>
      <c r="K11" s="12">
        <f>ZA*F</f>
        <v>220.00000000000003</v>
      </c>
      <c r="L11" s="12">
        <f>ZV*F</f>
        <v>269.5</v>
      </c>
      <c r="M11" s="12">
        <f>ZBB</f>
        <v>370</v>
      </c>
      <c r="N11" s="12">
        <v>0</v>
      </c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0" s="1" customFormat="1" ht="21" x14ac:dyDescent="0.35">
      <c r="A12"/>
      <c r="B12" s="4"/>
      <c r="C12" s="40" t="s">
        <v>136</v>
      </c>
      <c r="D12" s="2"/>
      <c r="E12" s="45" t="s">
        <v>12</v>
      </c>
      <c r="F12" s="47" t="s">
        <v>137</v>
      </c>
      <c r="G12" s="41" t="str">
        <f>IF(E12=M,IF(I12&lt;=MBP,MB,IF(I12&lt;=MIP,MI,MA)),IF(E12=W,IF(I12&lt;=WBP,WB,IF(I12&lt;=WIP,WI,WA))))</f>
        <v>MA</v>
      </c>
      <c r="H12" s="9">
        <f>RANK(I12,$I$4:$I$96,0)</f>
        <v>8</v>
      </c>
      <c r="I12" s="23">
        <f>CEILING(SUM(LARGE(J12:BI12,{1,2,3,4,5})),1)</f>
        <v>2856</v>
      </c>
      <c r="J12" s="12">
        <f>ZF</f>
        <v>550</v>
      </c>
      <c r="K12" s="12">
        <f>ZH</f>
        <v>650</v>
      </c>
      <c r="L12" s="12">
        <f>ZB</f>
        <v>600</v>
      </c>
      <c r="M12" s="12">
        <f>ZCC*F</f>
        <v>572</v>
      </c>
      <c r="N12" s="12">
        <f>ZD*F</f>
        <v>484.00000000000006</v>
      </c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0" s="1" customFormat="1" ht="21" x14ac:dyDescent="0.35">
      <c r="A13"/>
      <c r="B13" s="4"/>
      <c r="C13" s="40" t="s">
        <v>125</v>
      </c>
      <c r="D13" s="2"/>
      <c r="E13" s="45" t="s">
        <v>12</v>
      </c>
      <c r="F13" s="2" t="s">
        <v>179</v>
      </c>
      <c r="G13" s="41" t="str">
        <f>IF(E13=M,IF(I13&lt;=MBP,MB,IF(I13&lt;=MIP,MI,MA)),IF(E13=W,IF(I13&lt;=WBP,WB,IF(I13&lt;=WIP,WI,WA))))</f>
        <v>MI</v>
      </c>
      <c r="H13" s="9">
        <f>RANK(I13,$I$4:$I$96,0)</f>
        <v>28</v>
      </c>
      <c r="I13" s="23">
        <f>CEILING(SUM(LARGE(J13:BI13,{1,2,3,4,5})),1)</f>
        <v>1868</v>
      </c>
      <c r="J13" s="12">
        <f>ZD*F</f>
        <v>484.00000000000006</v>
      </c>
      <c r="K13" s="12">
        <f>ZBB*F</f>
        <v>407.00000000000006</v>
      </c>
      <c r="L13" s="12">
        <f>ZK*F</f>
        <v>374.00000000000006</v>
      </c>
      <c r="M13" s="12">
        <f>ZS</f>
        <v>350</v>
      </c>
      <c r="N13" s="12">
        <f>ZP*F</f>
        <v>253.00000000000003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0" s="1" customFormat="1" ht="21" x14ac:dyDescent="0.35">
      <c r="A14"/>
      <c r="B14" s="4"/>
      <c r="C14" s="44" t="s">
        <v>126</v>
      </c>
      <c r="D14" s="4"/>
      <c r="E14" s="45" t="s">
        <v>22</v>
      </c>
      <c r="F14" s="47" t="s">
        <v>184</v>
      </c>
      <c r="G14" s="41" t="str">
        <f>IF(E14=M,IF(I14&lt;=MBP,MB,IF(I14&lt;=MIP,MI,MA)),IF(E14=W,IF(I14&lt;=WBP,WB,IF(I14&lt;=WIP,WI,WA))))</f>
        <v>WA</v>
      </c>
      <c r="H14" s="9">
        <f>RANK(I14,$I$4:$I$96,0)</f>
        <v>4</v>
      </c>
      <c r="I14" s="23">
        <f>CEILING(SUM(LARGE(J14:BI14,{1,2,3,4,5})),1)</f>
        <v>3111</v>
      </c>
      <c r="J14" s="12">
        <f>ZCC*F</f>
        <v>572</v>
      </c>
      <c r="K14" s="12">
        <f>ZH</f>
        <v>650</v>
      </c>
      <c r="L14" s="12">
        <f>ZF</f>
        <v>550</v>
      </c>
      <c r="M14" s="12">
        <f>ZI*F</f>
        <v>649</v>
      </c>
      <c r="N14" s="12">
        <f>ZE</f>
        <v>690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0" s="1" customFormat="1" ht="21" x14ac:dyDescent="0.35">
      <c r="A15"/>
      <c r="B15" s="4"/>
      <c r="C15" s="40" t="s">
        <v>136</v>
      </c>
      <c r="D15" s="2"/>
      <c r="E15" s="45" t="s">
        <v>22</v>
      </c>
      <c r="F15" s="2" t="s">
        <v>185</v>
      </c>
      <c r="G15" s="41" t="str">
        <f>IF(E15=M,IF(I15&lt;=MBP,MB,IF(I15&lt;=MIP,MI,MA)),IF(E15=W,IF(I15&lt;=WBP,WB,IF(I15&lt;=WIP,WI,WA))))</f>
        <v>WI</v>
      </c>
      <c r="H15" s="9">
        <f>RANK(I15,$I$4:$I$96,0)</f>
        <v>32</v>
      </c>
      <c r="I15" s="23">
        <f>CEILING(SUM(LARGE(J15:BI15,{1,2,3,4,5})),1)</f>
        <v>1710</v>
      </c>
      <c r="J15" s="12">
        <f>ZV*F</f>
        <v>269.5</v>
      </c>
      <c r="K15" s="12">
        <f>ZS*F</f>
        <v>385.00000000000006</v>
      </c>
      <c r="L15" s="12">
        <f>ZBB</f>
        <v>370</v>
      </c>
      <c r="M15" s="12">
        <f>ZJ</f>
        <v>385</v>
      </c>
      <c r="N15" s="12">
        <f>ZO</f>
        <v>300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</row>
    <row r="16" spans="1:70" s="1" customFormat="1" ht="26.25" customHeight="1" x14ac:dyDescent="0.35">
      <c r="A16"/>
      <c r="B16" s="4"/>
      <c r="C16" s="40" t="s">
        <v>124</v>
      </c>
      <c r="D16" s="46"/>
      <c r="E16" s="45" t="s">
        <v>22</v>
      </c>
      <c r="F16" s="47" t="s">
        <v>190</v>
      </c>
      <c r="G16" s="41" t="str">
        <f>IF(E16=M,IF(I16&lt;=MBP,MB,IF(I16&lt;=MIP,MI,MA)),IF(E16=W,IF(I16&lt;=WBP,WB,IF(I16&lt;=WIP,WI,WA))))</f>
        <v>WI</v>
      </c>
      <c r="H16" s="9">
        <f>RANK(I16,$I$4:$I$96,0)</f>
        <v>21</v>
      </c>
      <c r="I16" s="23">
        <f>CEILING(SUM(LARGE(J16:BI16,{1,2,3,4,5})),1)</f>
        <v>2055</v>
      </c>
      <c r="J16" s="12">
        <f>ZBB*F</f>
        <v>407.00000000000006</v>
      </c>
      <c r="K16" s="12">
        <f>ZD*F</f>
        <v>484.00000000000006</v>
      </c>
      <c r="L16" s="12">
        <f>ZK</f>
        <v>340</v>
      </c>
      <c r="M16" s="12">
        <f>ZJ*F</f>
        <v>423.50000000000006</v>
      </c>
      <c r="N16" s="12">
        <f>ZN</f>
        <v>400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</row>
    <row r="17" spans="1:70" s="1" customFormat="1" ht="21" x14ac:dyDescent="0.35">
      <c r="A17"/>
      <c r="B17" s="4"/>
      <c r="C17" s="40" t="s">
        <v>125</v>
      </c>
      <c r="D17" s="2"/>
      <c r="E17" s="45" t="s">
        <v>12</v>
      </c>
      <c r="F17" s="2" t="s">
        <v>195</v>
      </c>
      <c r="G17" s="41" t="str">
        <f>IF(E17=M,IF(I17&lt;=MBP,MB,IF(I17&lt;=MIP,MI,MA)),IF(E17=W,IF(I17&lt;=WBP,WB,IF(I17&lt;=WIP,WI,WA))))</f>
        <v>MI</v>
      </c>
      <c r="H17" s="9">
        <f>RANK(I17,$I$4:$I$96,0)</f>
        <v>15</v>
      </c>
      <c r="I17" s="23">
        <f>CEILING(SUM(LARGE(J17:BI17,{1,2,3,4,5})),1)</f>
        <v>2188</v>
      </c>
      <c r="J17" s="12">
        <f>ZBB*F</f>
        <v>407.00000000000006</v>
      </c>
      <c r="K17" s="12">
        <f>ZS*F</f>
        <v>385.00000000000006</v>
      </c>
      <c r="L17" s="12">
        <f>ZN</f>
        <v>400</v>
      </c>
      <c r="M17" s="12">
        <f>ZJ*F</f>
        <v>423.50000000000006</v>
      </c>
      <c r="N17" s="12">
        <f>ZCC*F</f>
        <v>572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</row>
    <row r="18" spans="1:70" s="1" customFormat="1" ht="21" x14ac:dyDescent="0.35">
      <c r="A18"/>
      <c r="B18" s="4"/>
      <c r="C18" s="40" t="s">
        <v>125</v>
      </c>
      <c r="D18" s="2"/>
      <c r="E18" s="45" t="s">
        <v>12</v>
      </c>
      <c r="F18" s="2" t="s">
        <v>134</v>
      </c>
      <c r="G18" s="41" t="str">
        <f>IF(E18=M,IF(I18&lt;=MBP,MB,IF(I18&lt;=MIP,MI,MA)),IF(E18=W,IF(I18&lt;=WBP,WB,IF(I18&lt;=WIP,WI,WA))))</f>
        <v>MI</v>
      </c>
      <c r="H18" s="9">
        <f>RANK(I18,$I$4:$I$96,0)</f>
        <v>24</v>
      </c>
      <c r="I18" s="23">
        <f>CEILING(SUM(LARGE(J18:BI18,{1,2,3,4,5})),1)</f>
        <v>2001</v>
      </c>
      <c r="J18" s="12">
        <f>ZBB*F</f>
        <v>407.00000000000006</v>
      </c>
      <c r="K18" s="12">
        <f>ZD</f>
        <v>440</v>
      </c>
      <c r="L18" s="12">
        <f>ZN</f>
        <v>400</v>
      </c>
      <c r="M18" s="12">
        <f>ZO*F</f>
        <v>330</v>
      </c>
      <c r="N18" s="12">
        <f>ZJ*F</f>
        <v>423.50000000000006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 s="1" customFormat="1" ht="21" x14ac:dyDescent="0.35">
      <c r="A19"/>
      <c r="B19" s="4"/>
      <c r="C19" s="44" t="s">
        <v>136</v>
      </c>
      <c r="D19" s="46"/>
      <c r="E19" s="45" t="s">
        <v>12</v>
      </c>
      <c r="F19" s="47" t="s">
        <v>147</v>
      </c>
      <c r="G19" s="41" t="str">
        <f>IF(E19=M,IF(I19&lt;=MBP,MB,IF(I19&lt;=MIP,MI,MA)),IF(E19=W,IF(I19&lt;=WBP,WB,IF(I19&lt;=WIP,WI,WA))))</f>
        <v>MB</v>
      </c>
      <c r="H19" s="9">
        <f>RANK(I19,$I$4:$I$96,0)</f>
        <v>42</v>
      </c>
      <c r="I19" s="23">
        <f>CEILING(SUM(LARGE(J19:BI19,{1,2,3,4,5})),1)</f>
        <v>1390</v>
      </c>
      <c r="J19" s="12">
        <f>ZP</f>
        <v>230</v>
      </c>
      <c r="K19" s="12">
        <f>ZA*F</f>
        <v>220.00000000000003</v>
      </c>
      <c r="L19" s="12">
        <f>ZO</f>
        <v>300</v>
      </c>
      <c r="M19" s="12">
        <f>ZBB</f>
        <v>370</v>
      </c>
      <c r="N19" s="12">
        <f>ZV*F</f>
        <v>269.5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 s="1" customFormat="1" ht="21" x14ac:dyDescent="0.35">
      <c r="A20"/>
      <c r="B20" s="4"/>
      <c r="C20" s="40" t="s">
        <v>136</v>
      </c>
      <c r="D20" s="2"/>
      <c r="E20" s="45" t="s">
        <v>12</v>
      </c>
      <c r="F20" s="2" t="s">
        <v>135</v>
      </c>
      <c r="G20" s="41" t="str">
        <f>IF(E20=M,IF(I20&lt;=MBP,MB,IF(I20&lt;=MIP,MI,MA)),IF(E20=W,IF(I20&lt;=WBP,WB,IF(I20&lt;=WIP,WI,WA))))</f>
        <v>MA</v>
      </c>
      <c r="H20" s="9">
        <f>RANK(I20,$I$4:$I$96,0)</f>
        <v>9</v>
      </c>
      <c r="I20" s="23">
        <f>CEILING(SUM(LARGE(J20:BI20,{1,2,3,4,5})),1)</f>
        <v>2763</v>
      </c>
      <c r="J20" s="12">
        <f>ZF*F</f>
        <v>605</v>
      </c>
      <c r="K20" s="12">
        <f>ZH</f>
        <v>650</v>
      </c>
      <c r="L20" s="12">
        <f>ZB</f>
        <v>600</v>
      </c>
      <c r="M20" s="12">
        <f>ZD*F</f>
        <v>484.00000000000006</v>
      </c>
      <c r="N20" s="12">
        <f>ZJ*F</f>
        <v>423.50000000000006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 s="1" customFormat="1" ht="21" x14ac:dyDescent="0.35">
      <c r="A21"/>
      <c r="B21" s="4"/>
      <c r="C21" s="40" t="s">
        <v>165</v>
      </c>
      <c r="D21" s="2"/>
      <c r="E21" s="45" t="s">
        <v>12</v>
      </c>
      <c r="F21" s="2" t="s">
        <v>167</v>
      </c>
      <c r="G21" s="41" t="str">
        <f>IF(E21=M,IF(I21&lt;=MBP,MB,IF(I21&lt;=MIP,MI,MA)),IF(E21=W,IF(I21&lt;=WBP,WB,IF(I21&lt;=WIP,WI,WA))))</f>
        <v>MB</v>
      </c>
      <c r="H21" s="9">
        <f>RANK(I21,$I$4:$I$96,0)</f>
        <v>58</v>
      </c>
      <c r="I21" s="23">
        <f>CEILING(SUM(LARGE(J21:BI21,{1,2,3,4,5})),1)</f>
        <v>1019</v>
      </c>
      <c r="J21" s="12">
        <f>ZY*F</f>
        <v>209.00000000000003</v>
      </c>
      <c r="K21" s="12">
        <f>ZBB</f>
        <v>370</v>
      </c>
      <c r="L21" s="12">
        <f>ZD</f>
        <v>440</v>
      </c>
      <c r="M21" s="12">
        <v>0</v>
      </c>
      <c r="N21" s="12">
        <v>0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 s="1" customFormat="1" ht="21" x14ac:dyDescent="0.35">
      <c r="A22"/>
      <c r="B22" s="4"/>
      <c r="C22" s="40" t="s">
        <v>124</v>
      </c>
      <c r="D22" s="46"/>
      <c r="E22" s="45" t="s">
        <v>12</v>
      </c>
      <c r="F22" s="47" t="s">
        <v>176</v>
      </c>
      <c r="G22" s="41" t="str">
        <f>IF(E22=M,IF(I22&lt;=MBP,MB,IF(I22&lt;=MIP,MI,MA)),IF(E22=W,IF(I22&lt;=WBP,WB,IF(I22&lt;=WIP,WI,WA))))</f>
        <v>MI</v>
      </c>
      <c r="H22" s="9">
        <f>RANK(I22,$I$4:$I$96,0)</f>
        <v>16</v>
      </c>
      <c r="I22" s="23">
        <f>CEILING(SUM(LARGE(J22:BI22,{1,2,3,4,5})),1)</f>
        <v>2187</v>
      </c>
      <c r="J22" s="12">
        <f>ZY*F</f>
        <v>209.00000000000003</v>
      </c>
      <c r="K22" s="12">
        <f>ZJ*F</f>
        <v>423.50000000000006</v>
      </c>
      <c r="L22" s="12">
        <f>ZD*F</f>
        <v>484.00000000000006</v>
      </c>
      <c r="M22" s="12">
        <f>ZF</f>
        <v>550</v>
      </c>
      <c r="N22" s="12">
        <f>ZCC</f>
        <v>520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</row>
    <row r="23" spans="1:70" s="1" customFormat="1" ht="21" x14ac:dyDescent="0.35">
      <c r="A23"/>
      <c r="B23" s="4"/>
      <c r="C23" s="40" t="s">
        <v>124</v>
      </c>
      <c r="D23" s="46"/>
      <c r="E23" s="45" t="s">
        <v>12</v>
      </c>
      <c r="F23" s="47" t="s">
        <v>188</v>
      </c>
      <c r="G23" s="41" t="str">
        <f>IF(E23=M,IF(I23&lt;=MBP,MB,IF(I23&lt;=MIP,MI,MA)),IF(E23=W,IF(I23&lt;=WBP,WB,IF(I23&lt;=WIP,WI,WA))))</f>
        <v>MB</v>
      </c>
      <c r="H23" s="9">
        <f>RANK(I23,$I$4:$I$96,0)</f>
        <v>45</v>
      </c>
      <c r="I23" s="23">
        <f>CEILING(SUM(LARGE(J23:BI23,{1,2,3,4,5})),1)</f>
        <v>1348</v>
      </c>
      <c r="J23" s="12">
        <f>ZY*F</f>
        <v>209.00000000000003</v>
      </c>
      <c r="K23" s="12">
        <f>ZP*F</f>
        <v>253.00000000000003</v>
      </c>
      <c r="L23" s="12">
        <f>ZV*F</f>
        <v>269.5</v>
      </c>
      <c r="M23" s="12">
        <f>ZL*F</f>
        <v>286</v>
      </c>
      <c r="N23" s="12">
        <f>ZO*F</f>
        <v>330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</row>
    <row r="24" spans="1:70" s="1" customFormat="1" ht="21" x14ac:dyDescent="0.35">
      <c r="A24"/>
      <c r="B24" s="4"/>
      <c r="C24" s="40" t="s">
        <v>124</v>
      </c>
      <c r="D24" s="46"/>
      <c r="E24" s="45" t="s">
        <v>12</v>
      </c>
      <c r="F24" s="47" t="s">
        <v>149</v>
      </c>
      <c r="G24" s="41" t="str">
        <f>IF(E24=M,IF(I24&lt;=MBP,MB,IF(I24&lt;=MIP,MI,MA)),IF(E24=W,IF(I24&lt;=WBP,WB,IF(I24&lt;=WIP,WI,WA))))</f>
        <v>MB</v>
      </c>
      <c r="H24" s="9">
        <f>RANK(I24,$I$4:$I$96,0)</f>
        <v>44</v>
      </c>
      <c r="I24" s="23">
        <f>CEILING(SUM(LARGE(J24:BI24,{1,2,3,4,5})),1)</f>
        <v>1350</v>
      </c>
      <c r="J24" s="12">
        <f>ZV*F</f>
        <v>269.5</v>
      </c>
      <c r="K24" s="12">
        <f>ZP</f>
        <v>230</v>
      </c>
      <c r="L24" s="12">
        <f>ZBB</f>
        <v>370</v>
      </c>
      <c r="M24" s="12">
        <f>ZL</f>
        <v>260</v>
      </c>
      <c r="N24" s="12">
        <f>ZA*F</f>
        <v>220.00000000000003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 s="1" customFormat="1" ht="21" x14ac:dyDescent="0.35">
      <c r="A25"/>
      <c r="B25" s="4"/>
      <c r="C25" s="40" t="s">
        <v>126</v>
      </c>
      <c r="D25" s="46"/>
      <c r="E25" s="45" t="s">
        <v>12</v>
      </c>
      <c r="F25" s="47" t="s">
        <v>178</v>
      </c>
      <c r="G25" s="41" t="str">
        <f>IF(E25=M,IF(I25&lt;=MBP,MB,IF(I25&lt;=MIP,MI,MA)),IF(E25=W,IF(I25&lt;=WBP,WB,IF(I25&lt;=WIP,WI,WA))))</f>
        <v>MI</v>
      </c>
      <c r="H25" s="9">
        <f>RANK(I25,$I$4:$I$96,0)</f>
        <v>17</v>
      </c>
      <c r="I25" s="23">
        <f>CEILING(SUM(LARGE(J25:BI25,{1,2,3,4,5})),1)</f>
        <v>2181</v>
      </c>
      <c r="J25" s="12">
        <f>ZS*F</f>
        <v>385.00000000000006</v>
      </c>
      <c r="K25" s="12">
        <f>ZX*F</f>
        <v>429.00000000000006</v>
      </c>
      <c r="L25" s="12">
        <f>ZCC</f>
        <v>520</v>
      </c>
      <c r="M25" s="12">
        <f>ZBB*F</f>
        <v>407.00000000000006</v>
      </c>
      <c r="N25" s="12">
        <f>ZD</f>
        <v>440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 s="1" customFormat="1" ht="23.25" customHeight="1" x14ac:dyDescent="0.35">
      <c r="A26"/>
      <c r="B26" s="4"/>
      <c r="C26" s="2" t="s">
        <v>125</v>
      </c>
      <c r="D26" s="43"/>
      <c r="E26" s="2" t="s">
        <v>12</v>
      </c>
      <c r="F26" s="51" t="s">
        <v>174</v>
      </c>
      <c r="G26" s="41" t="str">
        <f>IF(E26=M,IF(I26&lt;=MBP,MB,IF(I26&lt;=MIP,MI,MA)),IF(E26=W,IF(I26&lt;=WBP,WB,IF(I26&lt;=WIP,WI,WA))))</f>
        <v>MI</v>
      </c>
      <c r="H26" s="9">
        <f>RANK(I26,$I$4:$I$96,0)</f>
        <v>12</v>
      </c>
      <c r="I26" s="23">
        <f>CEILING(SUM(LARGE(J26:BI26,{1,2,3,4,5})),1)</f>
        <v>2415</v>
      </c>
      <c r="J26" s="12">
        <f>ZDD*F</f>
        <v>517</v>
      </c>
      <c r="K26" s="12">
        <f>ZD*F</f>
        <v>484.00000000000006</v>
      </c>
      <c r="L26" s="12">
        <f>ZN*F</f>
        <v>440.00000000000006</v>
      </c>
      <c r="M26" s="12">
        <f>ZF</f>
        <v>550</v>
      </c>
      <c r="N26" s="12">
        <f>ZJ*F</f>
        <v>423.50000000000006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s="1" customFormat="1" ht="21" x14ac:dyDescent="0.35">
      <c r="A27"/>
      <c r="B27" s="4"/>
      <c r="C27" s="2" t="s">
        <v>126</v>
      </c>
      <c r="D27" s="2"/>
      <c r="E27" s="40" t="s">
        <v>12</v>
      </c>
      <c r="F27" s="2" t="s">
        <v>183</v>
      </c>
      <c r="G27" s="41" t="str">
        <f>IF(E27=M,IF(I27&lt;=MBP,MB,IF(I27&lt;=MIP,MI,MA)),IF(E27=W,IF(I27&lt;=WBP,WB,IF(I27&lt;=WIP,WI,WA))))</f>
        <v>MB</v>
      </c>
      <c r="H27" s="9">
        <f>RANK(I27,$I$4:$I$96,0)</f>
        <v>63</v>
      </c>
      <c r="I27" s="23"/>
      <c r="J27" s="12">
        <f>ZD*F</f>
        <v>484.00000000000006</v>
      </c>
      <c r="K27" s="12">
        <f>ZJ*F</f>
        <v>423.50000000000006</v>
      </c>
      <c r="L27" s="12">
        <f>ZF</f>
        <v>550</v>
      </c>
      <c r="M27" s="12">
        <f>ZS</f>
        <v>350</v>
      </c>
      <c r="N27" s="12">
        <f>ZBB*F</f>
        <v>407.00000000000006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</row>
    <row r="28" spans="1:70" s="1" customFormat="1" ht="21" x14ac:dyDescent="0.35">
      <c r="A28"/>
      <c r="B28" s="4"/>
      <c r="C28" s="2" t="s">
        <v>125</v>
      </c>
      <c r="D28" s="2"/>
      <c r="E28" s="40" t="s">
        <v>12</v>
      </c>
      <c r="F28" s="2" t="s">
        <v>200</v>
      </c>
      <c r="G28" s="41" t="str">
        <f>IF(E28=M,IF(I28&lt;=MBP,MB,IF(I28&lt;=MIP,MI,MA)),IF(E28=W,IF(I28&lt;=WBP,WB,IF(I28&lt;=WIP,WI,WA))))</f>
        <v>MB</v>
      </c>
      <c r="H28" s="9">
        <f>RANK(I28,$I$4:$I$96,0)</f>
        <v>63</v>
      </c>
      <c r="I28" s="23">
        <f>CEILING(SUM(LARGE(J28:BI28,{1,2,3,4,5})),1)</f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 s="1" customFormat="1" ht="21" x14ac:dyDescent="0.35">
      <c r="B29" s="4"/>
      <c r="C29" s="2" t="s">
        <v>124</v>
      </c>
      <c r="D29" s="2"/>
      <c r="E29" s="40" t="s">
        <v>22</v>
      </c>
      <c r="F29" s="2" t="s">
        <v>182</v>
      </c>
      <c r="G29" s="41" t="str">
        <f>IF(E29=M,IF(I29&lt;=MBP,MB,IF(I29&lt;=MIP,MI,MA)),IF(E29=W,IF(I29&lt;=WBP,WB,IF(I29&lt;=WIP,WI,WA))))</f>
        <v>WI</v>
      </c>
      <c r="H29" s="9">
        <f>RANK(I29,$I$4:$I$96,0)</f>
        <v>29</v>
      </c>
      <c r="I29" s="23">
        <f>CEILING(SUM(LARGE(J29:BI29,{1,2,3,4,5})),1)</f>
        <v>1733</v>
      </c>
      <c r="J29" s="12">
        <f>ZW*F</f>
        <v>187.00000000000003</v>
      </c>
      <c r="K29" s="12">
        <f>ZBB*F</f>
        <v>407.00000000000006</v>
      </c>
      <c r="L29" s="12">
        <f>ZJ*F</f>
        <v>423.50000000000006</v>
      </c>
      <c r="M29" s="12">
        <f>ZO*F</f>
        <v>330</v>
      </c>
      <c r="N29" s="12">
        <f>ZS*F</f>
        <v>385.00000000000006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 s="1" customFormat="1" ht="21" x14ac:dyDescent="0.35">
      <c r="B30" s="4"/>
      <c r="C30" s="2" t="s">
        <v>125</v>
      </c>
      <c r="D30" s="2"/>
      <c r="E30" s="40" t="s">
        <v>12</v>
      </c>
      <c r="F30" s="2" t="s">
        <v>164</v>
      </c>
      <c r="G30" s="41" t="str">
        <f>IF(E30=M,IF(I30&lt;=MBP,MB,IF(I30&lt;=MIP,MI,MA)),IF(E30=W,IF(I30&lt;=WBP,WB,IF(I30&lt;=WIP,WI,WA))))</f>
        <v>MI</v>
      </c>
      <c r="H30" s="9">
        <f>RANK(I30,$I$4:$I$96,0)</f>
        <v>31</v>
      </c>
      <c r="I30" s="23">
        <f>CEILING(SUM(LARGE(J30:BI30,{1,2,3,4,5})),1)</f>
        <v>1726</v>
      </c>
      <c r="J30" s="12">
        <f>ZY*F</f>
        <v>209.00000000000003</v>
      </c>
      <c r="K30" s="12">
        <f>ZBB*F</f>
        <v>407.00000000000006</v>
      </c>
      <c r="L30" s="12">
        <f>ZV*F</f>
        <v>269.5</v>
      </c>
      <c r="M30" s="12">
        <f>ZD</f>
        <v>440</v>
      </c>
      <c r="N30" s="12">
        <f>ZN</f>
        <v>400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 s="1" customFormat="1" ht="21" x14ac:dyDescent="0.35">
      <c r="B31" s="4"/>
      <c r="C31" s="2" t="s">
        <v>125</v>
      </c>
      <c r="D31" s="2"/>
      <c r="E31" s="40" t="s">
        <v>12</v>
      </c>
      <c r="F31" s="2" t="s">
        <v>199</v>
      </c>
      <c r="G31" s="41" t="str">
        <f>IF(E31=M,IF(I31&lt;=MBP,MB,IF(I31&lt;=MIP,MI,MA)),IF(E31=W,IF(I31&lt;=WBP,WB,IF(I31&lt;=WIP,WI,WA))))</f>
        <v>MA</v>
      </c>
      <c r="H31" s="9">
        <f>RANK(I31,$I$4:$I$96,0)</f>
        <v>5</v>
      </c>
      <c r="I31" s="23">
        <f>CEILING(SUM(LARGE(J31:BI31,{1,2,3,4,5})),1)</f>
        <v>3012</v>
      </c>
      <c r="J31" s="12">
        <f>ZCC*F</f>
        <v>572</v>
      </c>
      <c r="K31" s="12">
        <f>ZF*F</f>
        <v>605</v>
      </c>
      <c r="L31" s="12">
        <f>ZH*F</f>
        <v>715.00000000000011</v>
      </c>
      <c r="M31" s="12">
        <f>ZZ</f>
        <v>720</v>
      </c>
      <c r="N31" s="12">
        <f>ZN</f>
        <v>400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s="1" customFormat="1" ht="21" x14ac:dyDescent="0.35">
      <c r="B32" s="4"/>
      <c r="C32" s="2" t="s">
        <v>124</v>
      </c>
      <c r="D32" s="2"/>
      <c r="E32" s="2" t="s">
        <v>22</v>
      </c>
      <c r="F32" s="43" t="s">
        <v>193</v>
      </c>
      <c r="G32" s="41" t="str">
        <f>IF(E32=M,IF(I32&lt;=MBP,MB,IF(I32&lt;=MIP,MI,MA)),IF(E32=W,IF(I32&lt;=WBP,WB,IF(I32&lt;=WIP,WI,WA))))</f>
        <v>WA</v>
      </c>
      <c r="H32" s="9">
        <f>RANK(I32,$I$4:$I$96,0)</f>
        <v>13</v>
      </c>
      <c r="I32" s="23">
        <f>CEILING(SUM(LARGE(J32:BI32,{1,2,3,4,5})),1)</f>
        <v>2305</v>
      </c>
      <c r="J32" s="12">
        <f>ZN*F</f>
        <v>440.00000000000006</v>
      </c>
      <c r="K32" s="12">
        <f>ZJ*F</f>
        <v>423.50000000000006</v>
      </c>
      <c r="L32" s="12">
        <f>ZBB*F</f>
        <v>407.00000000000006</v>
      </c>
      <c r="M32" s="12">
        <f>ZD*F</f>
        <v>484.00000000000006</v>
      </c>
      <c r="N32" s="12">
        <f>ZF</f>
        <v>550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</row>
    <row r="33" spans="2:70" s="1" customFormat="1" ht="21" x14ac:dyDescent="0.35">
      <c r="B33" s="4"/>
      <c r="C33" s="4" t="s">
        <v>125</v>
      </c>
      <c r="D33" s="46"/>
      <c r="E33" s="2" t="s">
        <v>12</v>
      </c>
      <c r="F33" s="47" t="s">
        <v>131</v>
      </c>
      <c r="G33" s="41" t="str">
        <f>IF(E33=M,IF(I33&lt;=MBP,MB,IF(I33&lt;=MIP,MI,MA)),IF(E33=W,IF(I33&lt;=WBP,WB,IF(I33&lt;=WIP,WI,WA))))</f>
        <v>MB</v>
      </c>
      <c r="H33" s="9">
        <f>RANK(I33,$I$4:$I$96,0)</f>
        <v>60</v>
      </c>
      <c r="I33" s="23">
        <f>CEILING(SUM(LARGE(J33:BI33,{1,2,3,4,5})),1)</f>
        <v>885</v>
      </c>
      <c r="J33" s="12">
        <f>ZC*F</f>
        <v>165</v>
      </c>
      <c r="K33" s="12">
        <f>ZA*F</f>
        <v>220.00000000000003</v>
      </c>
      <c r="L33" s="12">
        <f>ZP</f>
        <v>230</v>
      </c>
      <c r="M33" s="12">
        <f>ZV*F</f>
        <v>269.5</v>
      </c>
      <c r="N33" s="12">
        <v>0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</row>
    <row r="34" spans="2:70" s="1" customFormat="1" ht="21" x14ac:dyDescent="0.35">
      <c r="B34" s="4"/>
      <c r="C34" s="2" t="s">
        <v>125</v>
      </c>
      <c r="D34" s="2"/>
      <c r="E34" s="2" t="s">
        <v>12</v>
      </c>
      <c r="F34" s="2" t="s">
        <v>177</v>
      </c>
      <c r="G34" s="41" t="str">
        <f>IF(E34=M,IF(I34&lt;=MBP,MB,IF(I34&lt;=MIP,MI,MA)),IF(E34=W,IF(I34&lt;=WBP,WB,IF(I34&lt;=WIP,WI,WA))))</f>
        <v>MB</v>
      </c>
      <c r="H34" s="9">
        <f>RANK(I34,$I$4:$I$96,0)</f>
        <v>36</v>
      </c>
      <c r="I34" s="23">
        <f>CEILING(SUM(LARGE(J34:BI34,{1,2,3,4,5})),1)</f>
        <v>1551</v>
      </c>
      <c r="J34" s="12">
        <f>ZD</f>
        <v>440</v>
      </c>
      <c r="K34" s="12">
        <f>ZBB*F</f>
        <v>407.00000000000006</v>
      </c>
      <c r="L34" s="12">
        <f>ZK*F</f>
        <v>374.00000000000006</v>
      </c>
      <c r="M34" s="12">
        <f>ZO*F</f>
        <v>330</v>
      </c>
      <c r="N34" s="12">
        <v>0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</row>
    <row r="35" spans="2:70" s="1" customFormat="1" ht="21" x14ac:dyDescent="0.35">
      <c r="B35" s="4"/>
      <c r="C35" s="2"/>
      <c r="D35" s="2"/>
      <c r="E35" s="2" t="s">
        <v>12</v>
      </c>
      <c r="F35" s="2" t="s">
        <v>197</v>
      </c>
      <c r="G35" s="41" t="str">
        <f>IF(E35=M,IF(I35&lt;=MBP,MB,IF(I35&lt;=MIP,MI,MA)),IF(E35=W,IF(I35&lt;=WBP,WB,IF(I35&lt;=WIP,WI,WA))))</f>
        <v>MA</v>
      </c>
      <c r="H35" s="9">
        <f>RANK(I35,$I$4:$I$96,0)</f>
        <v>7</v>
      </c>
      <c r="I35" s="23">
        <f>CEILING(SUM(LARGE(J35:BI35,{1,2,3,4,5})),1)</f>
        <v>2921</v>
      </c>
      <c r="J35" s="12">
        <f>ZCC*F</f>
        <v>572</v>
      </c>
      <c r="K35" s="12">
        <f>ZH*F</f>
        <v>715.00000000000011</v>
      </c>
      <c r="L35" s="12">
        <f>ZF</f>
        <v>550</v>
      </c>
      <c r="M35" s="12">
        <f>ZB</f>
        <v>600</v>
      </c>
      <c r="N35" s="12">
        <f>ZD*F</f>
        <v>484.00000000000006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</row>
    <row r="36" spans="2:70" s="1" customFormat="1" ht="21" x14ac:dyDescent="0.35">
      <c r="B36" s="4"/>
      <c r="C36" s="4" t="s">
        <v>157</v>
      </c>
      <c r="D36" s="46"/>
      <c r="E36" s="2" t="s">
        <v>12</v>
      </c>
      <c r="F36" s="47" t="s">
        <v>158</v>
      </c>
      <c r="G36" s="41" t="str">
        <f>IF(E36=M,IF(I36&lt;=MBP,MB,IF(I36&lt;=MIP,MI,MA)),IF(E36=W,IF(I36&lt;=WBP,WB,IF(I36&lt;=WIP,WI,WA))))</f>
        <v>MB</v>
      </c>
      <c r="H36" s="9">
        <f>RANK(I36,$I$4:$I$96,0)</f>
        <v>40</v>
      </c>
      <c r="I36" s="23">
        <f>CEILING(SUM(LARGE(J36:BI36,{1,2,3,4,5})),1)</f>
        <v>1446</v>
      </c>
      <c r="J36" s="12">
        <f>ZV*F</f>
        <v>269.5</v>
      </c>
      <c r="K36" s="12">
        <f>ZBB*F</f>
        <v>407.00000000000006</v>
      </c>
      <c r="L36" s="12">
        <f>ZK</f>
        <v>340</v>
      </c>
      <c r="M36" s="12">
        <f>ZA*F</f>
        <v>220.00000000000003</v>
      </c>
      <c r="N36" s="12">
        <f>ZY*F</f>
        <v>209.00000000000003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</row>
    <row r="37" spans="2:70" s="1" customFormat="1" ht="21" x14ac:dyDescent="0.35">
      <c r="B37" s="4"/>
      <c r="C37" s="4" t="s">
        <v>125</v>
      </c>
      <c r="D37" s="46"/>
      <c r="E37" s="2" t="s">
        <v>12</v>
      </c>
      <c r="F37" s="47" t="s">
        <v>159</v>
      </c>
      <c r="G37" s="41" t="str">
        <f>IF(E37=M,IF(I37&lt;=MBP,MB,IF(I37&lt;=MIP,MI,MA)),IF(E37=W,IF(I37&lt;=WBP,WB,IF(I37&lt;=WIP,WI,WA))))</f>
        <v>MB</v>
      </c>
      <c r="H37" s="9">
        <f>RANK(I37,$I$4:$I$96,0)</f>
        <v>61</v>
      </c>
      <c r="I37" s="23">
        <f>CEILING(SUM(LARGE(J37:BI37,{1,2,3,4,5})),1)</f>
        <v>880</v>
      </c>
      <c r="J37" s="12">
        <f>ZC*F</f>
        <v>165</v>
      </c>
      <c r="K37" s="12">
        <f>ZA*F</f>
        <v>220.00000000000003</v>
      </c>
      <c r="L37" s="12">
        <f>ZL*F</f>
        <v>286</v>
      </c>
      <c r="M37" s="12">
        <f>ZY*F</f>
        <v>209.00000000000003</v>
      </c>
      <c r="N37" s="12">
        <v>0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</row>
    <row r="38" spans="2:70" s="1" customFormat="1" ht="21" x14ac:dyDescent="0.35">
      <c r="B38" s="4"/>
      <c r="C38" s="2" t="s">
        <v>125</v>
      </c>
      <c r="D38" s="2"/>
      <c r="E38" s="2" t="s">
        <v>12</v>
      </c>
      <c r="F38" s="2" t="s">
        <v>152</v>
      </c>
      <c r="G38" s="41" t="str">
        <f>IF(E38=M,IF(I38&lt;=MBP,MB,IF(I38&lt;=MIP,MI,MA)),IF(E38=W,IF(I38&lt;=WBP,WB,IF(I38&lt;=WIP,WI,WA))))</f>
        <v>MB</v>
      </c>
      <c r="H38" s="9">
        <f>RANK(I38,$I$4:$I$96,0)</f>
        <v>57</v>
      </c>
      <c r="I38" s="23">
        <f>CEILING(SUM(LARGE(J38:BI38,{1,2,3,4,5})),1)</f>
        <v>1060</v>
      </c>
      <c r="J38" s="12">
        <f>ZV*F</f>
        <v>269.5</v>
      </c>
      <c r="K38" s="12">
        <f>ZL</f>
        <v>260</v>
      </c>
      <c r="L38" s="12">
        <f>ZP</f>
        <v>230</v>
      </c>
      <c r="M38" s="12">
        <f>ZQ</f>
        <v>300</v>
      </c>
      <c r="N38" s="12">
        <v>0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</row>
    <row r="39" spans="2:70" s="1" customFormat="1" ht="21" x14ac:dyDescent="0.35">
      <c r="B39" s="4"/>
      <c r="C39" s="2" t="s">
        <v>125</v>
      </c>
      <c r="D39" s="2"/>
      <c r="E39" s="2" t="s">
        <v>22</v>
      </c>
      <c r="F39" s="2" t="s">
        <v>146</v>
      </c>
      <c r="G39" s="41" t="str">
        <f>IF(E39=M,IF(I39&lt;=MBP,MB,IF(I39&lt;=MIP,MI,MA)),IF(E39=W,IF(I39&lt;=WBP,WB,IF(I39&lt;=WIP,WI,WA))))</f>
        <v>WI</v>
      </c>
      <c r="H39" s="9">
        <f>RANK(I39,$I$4:$I$96,0)</f>
        <v>46</v>
      </c>
      <c r="I39" s="23">
        <f>CEILING(SUM(LARGE(J39:BI39,{1,2,3,4,5})),1)</f>
        <v>1330</v>
      </c>
      <c r="J39" s="12">
        <f>ZA</f>
        <v>200</v>
      </c>
      <c r="K39" s="12">
        <f>ZV*F</f>
        <v>269.5</v>
      </c>
      <c r="L39" s="12">
        <f>ZP</f>
        <v>230</v>
      </c>
      <c r="M39" s="12">
        <f>ZL</f>
        <v>260</v>
      </c>
      <c r="N39" s="12">
        <f>ZBB</f>
        <v>370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</row>
    <row r="40" spans="2:70" s="1" customFormat="1" ht="21" x14ac:dyDescent="0.35">
      <c r="B40" s="4"/>
      <c r="C40" s="2" t="s">
        <v>125</v>
      </c>
      <c r="D40" s="2"/>
      <c r="E40" s="2" t="s">
        <v>12</v>
      </c>
      <c r="F40" s="2" t="s">
        <v>173</v>
      </c>
      <c r="G40" s="41" t="str">
        <f>IF(E40=M,IF(I40&lt;=MBP,MB,IF(I40&lt;=MIP,MI,MA)),IF(E40=W,IF(I40&lt;=WBP,WB,IF(I40&lt;=WIP,WI,WA))))</f>
        <v>MI</v>
      </c>
      <c r="H40" s="9">
        <f>RANK(I40,$I$4:$I$96,0)</f>
        <v>27</v>
      </c>
      <c r="I40" s="23">
        <f>CEILING(SUM(LARGE(J40:BI40,{1,2,3,4,5})),1)</f>
        <v>1870</v>
      </c>
      <c r="J40" s="12">
        <f>ZY*F</f>
        <v>209.00000000000003</v>
      </c>
      <c r="K40" s="12">
        <f>ZBB*F</f>
        <v>407.00000000000006</v>
      </c>
      <c r="L40" s="12">
        <f>ZD*F</f>
        <v>484.00000000000006</v>
      </c>
      <c r="M40" s="12">
        <f>ZO*F</f>
        <v>330</v>
      </c>
      <c r="N40" s="12">
        <f>ZN*F</f>
        <v>440.00000000000006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</row>
    <row r="41" spans="2:70" s="1" customFormat="1" ht="21" x14ac:dyDescent="0.35">
      <c r="B41" s="4"/>
      <c r="C41" s="2" t="s">
        <v>124</v>
      </c>
      <c r="D41" s="2"/>
      <c r="E41" s="2" t="s">
        <v>12</v>
      </c>
      <c r="F41" s="2" t="s">
        <v>202</v>
      </c>
      <c r="G41" s="41" t="str">
        <f>IF(E41=M,IF(I41&lt;=MBP,MB,IF(I41&lt;=MIP,MI,MA)),IF(E41=W,IF(I41&lt;=WBP,WB,IF(I41&lt;=WIP,WI,WA))))</f>
        <v>MI</v>
      </c>
      <c r="H41" s="9">
        <f>RANK(I41,$I$4:$I$96,0)</f>
        <v>22</v>
      </c>
      <c r="I41" s="23">
        <f>CEILING(SUM(LARGE(J41:BI41,{1,2,3,4,5})),1)</f>
        <v>2050</v>
      </c>
      <c r="J41" s="12">
        <f>ZF</f>
        <v>550</v>
      </c>
      <c r="K41" s="12">
        <f>ZH</f>
        <v>650</v>
      </c>
      <c r="L41" s="12">
        <f>ZCC</f>
        <v>520</v>
      </c>
      <c r="M41" s="12">
        <f>ZO*F</f>
        <v>330</v>
      </c>
      <c r="N41" s="12">
        <v>0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</row>
    <row r="42" spans="2:70" s="1" customFormat="1" ht="21" x14ac:dyDescent="0.35">
      <c r="B42" s="4"/>
      <c r="C42" s="2" t="s">
        <v>172</v>
      </c>
      <c r="D42" s="2"/>
      <c r="E42" s="2" t="s">
        <v>12</v>
      </c>
      <c r="F42" s="2" t="s">
        <v>170</v>
      </c>
      <c r="G42" s="41" t="str">
        <f>IF(E42=M,IF(I42&lt;=MBP,MB,IF(I42&lt;=MIP,MI,MA)),IF(E42=W,IF(I42&lt;=WBP,WB,IF(I42&lt;=WIP,WI,WA))))</f>
        <v>MB</v>
      </c>
      <c r="H42" s="9">
        <f>RANK(I42,$I$4:$I$96,0)</f>
        <v>37</v>
      </c>
      <c r="I42" s="23">
        <f>CEILING(SUM(LARGE(J42:BI42,{1,2,3,4,5})),1)</f>
        <v>1504</v>
      </c>
      <c r="J42" s="12">
        <f>ZDD</f>
        <v>470</v>
      </c>
      <c r="K42" s="12">
        <f>ZF</f>
        <v>550</v>
      </c>
      <c r="L42" s="12">
        <f>ZD*F</f>
        <v>484.00000000000006</v>
      </c>
      <c r="M42" s="12">
        <v>0</v>
      </c>
      <c r="N42" s="12">
        <v>0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</row>
    <row r="43" spans="2:70" s="1" customFormat="1" ht="21" x14ac:dyDescent="0.35">
      <c r="B43" s="4"/>
      <c r="C43" s="2" t="s">
        <v>125</v>
      </c>
      <c r="D43" s="2"/>
      <c r="E43" s="2" t="s">
        <v>22</v>
      </c>
      <c r="F43" s="2" t="s">
        <v>196</v>
      </c>
      <c r="G43" s="41" t="str">
        <f>IF(E43=M,IF(I43&lt;=MBP,MB,IF(I43&lt;=MIP,MI,MA)),IF(E43=W,IF(I43&lt;=WBP,WB,IF(I43&lt;=WIP,WI,WA))))</f>
        <v>WI</v>
      </c>
      <c r="H43" s="9">
        <f>RANK(I43,$I$4:$I$96,0)</f>
        <v>25</v>
      </c>
      <c r="I43" s="23">
        <f>CEILING(SUM(LARGE(J43:BI43,{1,2,3,4,5})),1)</f>
        <v>1905</v>
      </c>
      <c r="J43" s="12">
        <f>ZK*F</f>
        <v>374.00000000000006</v>
      </c>
      <c r="K43" s="12">
        <f>ZN</f>
        <v>400</v>
      </c>
      <c r="L43" s="12">
        <f>ZBB*F</f>
        <v>407.00000000000006</v>
      </c>
      <c r="M43" s="12">
        <f>ZO</f>
        <v>300</v>
      </c>
      <c r="N43" s="12">
        <f>ZJ*F</f>
        <v>423.50000000000006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</row>
    <row r="44" spans="2:70" s="1" customFormat="1" ht="21" x14ac:dyDescent="0.35">
      <c r="B44" s="4"/>
      <c r="C44" s="2" t="s">
        <v>124</v>
      </c>
      <c r="D44" s="2"/>
      <c r="E44" s="2" t="s">
        <v>22</v>
      </c>
      <c r="F44" s="47" t="s">
        <v>181</v>
      </c>
      <c r="G44" s="41" t="str">
        <f>IF(E44=M,IF(I44&lt;=MBP,MB,IF(I44&lt;=MIP,MI,MA)),IF(E44=W,IF(I44&lt;=WBP,WB,IF(I44&lt;=WIP,WI,WA))))</f>
        <v>WI</v>
      </c>
      <c r="H44" s="9">
        <f>RANK(I44,$I$4:$I$96,0)</f>
        <v>47</v>
      </c>
      <c r="I44" s="23">
        <f>CEILING(SUM(LARGE(J44:BI44,{1,2,3,4,5})),1)</f>
        <v>1317</v>
      </c>
      <c r="J44" s="12">
        <f>ZS</f>
        <v>350</v>
      </c>
      <c r="K44" s="12">
        <f>ZBB*F</f>
        <v>407.00000000000006</v>
      </c>
      <c r="L44" s="12">
        <f>ZK</f>
        <v>340</v>
      </c>
      <c r="M44" s="12">
        <f>ZA*F</f>
        <v>220.00000000000003</v>
      </c>
      <c r="N44" s="12">
        <v>0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</row>
    <row r="45" spans="2:70" s="1" customFormat="1" ht="21" x14ac:dyDescent="0.35">
      <c r="B45" s="4"/>
      <c r="C45" s="2" t="s">
        <v>136</v>
      </c>
      <c r="D45" s="46"/>
      <c r="E45" s="2" t="s">
        <v>22</v>
      </c>
      <c r="F45" s="47" t="s">
        <v>198</v>
      </c>
      <c r="G45" s="41" t="str">
        <f>IF(E45=M,IF(I45&lt;=MBP,MB,IF(I45&lt;=MIP,MI,MA)),IF(E45=W,IF(I45&lt;=WBP,WB,IF(I45&lt;=WIP,WI,WA))))</f>
        <v>WA</v>
      </c>
      <c r="H45" s="9">
        <f>RANK(I45,$I$4:$I$96,0)</f>
        <v>18</v>
      </c>
      <c r="I45" s="23">
        <f>CEILING(SUM(LARGE(J45:BI45,{1,2,3,4,5})),1)</f>
        <v>2101</v>
      </c>
      <c r="J45" s="12">
        <f>ZBB*F</f>
        <v>407.00000000000006</v>
      </c>
      <c r="K45" s="12">
        <f>ZX*F</f>
        <v>429.00000000000006</v>
      </c>
      <c r="L45" s="12">
        <f>ZN*F</f>
        <v>440.00000000000006</v>
      </c>
      <c r="M45" s="12">
        <f>ZJ</f>
        <v>385</v>
      </c>
      <c r="N45" s="12">
        <f>ZD</f>
        <v>440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</row>
    <row r="46" spans="2:70" s="1" customFormat="1" ht="21" x14ac:dyDescent="0.35">
      <c r="B46" s="4"/>
      <c r="C46" s="2" t="s">
        <v>125</v>
      </c>
      <c r="D46" s="2"/>
      <c r="E46" s="2" t="s">
        <v>22</v>
      </c>
      <c r="F46" s="47" t="s">
        <v>163</v>
      </c>
      <c r="G46" s="41" t="str">
        <f>IF(E46=M,IF(I46&lt;=MBP,MB,IF(I46&lt;=MIP,MI,MA)),IF(E46=W,IF(I46&lt;=WBP,WB,IF(I46&lt;=WIP,WI,WA))))</f>
        <v>WB</v>
      </c>
      <c r="H46" s="9">
        <f>RANK(I46,$I$4:$I$96,0)</f>
        <v>53</v>
      </c>
      <c r="I46" s="23">
        <f>CEILING(SUM(LARGE(J46:BI46,{1,2,3,4,5})),1)</f>
        <v>1216</v>
      </c>
      <c r="J46" s="12">
        <f>ZA*F</f>
        <v>220.00000000000003</v>
      </c>
      <c r="K46" s="12">
        <f>ZQ*F</f>
        <v>330</v>
      </c>
      <c r="L46" s="12">
        <f>ZW*F</f>
        <v>187.00000000000003</v>
      </c>
      <c r="M46" s="12">
        <f>ZY*F</f>
        <v>209.00000000000003</v>
      </c>
      <c r="N46" s="12">
        <f>ZV*F</f>
        <v>269.5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</row>
    <row r="47" spans="2:70" s="1" customFormat="1" ht="21" x14ac:dyDescent="0.35">
      <c r="B47" s="4"/>
      <c r="C47" s="2" t="s">
        <v>136</v>
      </c>
      <c r="D47" s="2"/>
      <c r="E47" s="2" t="s">
        <v>22</v>
      </c>
      <c r="F47" s="2" t="s">
        <v>142</v>
      </c>
      <c r="G47" s="41" t="str">
        <f>IF(E47=M,IF(I47&lt;=MBP,MB,IF(I47&lt;=MIP,MI,MA)),IF(E47=W,IF(I47&lt;=WBP,WB,IF(I47&lt;=WIP,WI,WA))))</f>
        <v>WI</v>
      </c>
      <c r="H47" s="9">
        <f>RANK(I47,$I$4:$I$96,0)</f>
        <v>41</v>
      </c>
      <c r="I47" s="23">
        <f>CEILING(SUM(LARGE(J47:BI47,{1,2,3,4,5})),1)</f>
        <v>1436</v>
      </c>
      <c r="J47" s="12">
        <f>ZA*F</f>
        <v>220.00000000000003</v>
      </c>
      <c r="K47" s="12">
        <f>ZV*F</f>
        <v>269.5</v>
      </c>
      <c r="L47" s="12">
        <f>ZP*F</f>
        <v>253.00000000000003</v>
      </c>
      <c r="M47" s="12">
        <f>ZL*F</f>
        <v>286</v>
      </c>
      <c r="N47" s="12">
        <f>ZBB*F</f>
        <v>407.00000000000006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</row>
    <row r="48" spans="2:70" s="1" customFormat="1" ht="21" x14ac:dyDescent="0.35">
      <c r="B48" s="4"/>
      <c r="C48" s="2" t="s">
        <v>136</v>
      </c>
      <c r="D48" s="2"/>
      <c r="E48" s="2" t="s">
        <v>22</v>
      </c>
      <c r="F48" s="2" t="s">
        <v>143</v>
      </c>
      <c r="G48" s="41" t="str">
        <f>IF(E48=M,IF(I48&lt;=MBP,MB,IF(I48&lt;=MIP,MI,MA)),IF(E48=W,IF(I48&lt;=WBP,WB,IF(I48&lt;=WIP,WI,WA))))</f>
        <v>WI</v>
      </c>
      <c r="H48" s="9">
        <f>RANK(I48,$I$4:$I$96,0)</f>
        <v>35</v>
      </c>
      <c r="I48" s="23">
        <f>CEILING(SUM(LARGE(J48:BI48,{1,2,3,4,5})),1)</f>
        <v>1593</v>
      </c>
      <c r="J48" s="12">
        <f>ZBB</f>
        <v>370</v>
      </c>
      <c r="K48" s="12">
        <f>ZV*F</f>
        <v>269.5</v>
      </c>
      <c r="L48" s="12">
        <f>ZP*F</f>
        <v>253.00000000000003</v>
      </c>
      <c r="M48" s="12">
        <f>ZD</f>
        <v>440</v>
      </c>
      <c r="N48" s="12">
        <f>ZL</f>
        <v>260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</row>
    <row r="49" spans="2:70" s="1" customFormat="1" ht="21" x14ac:dyDescent="0.35">
      <c r="B49" s="4"/>
      <c r="C49" s="4" t="s">
        <v>125</v>
      </c>
      <c r="D49" s="46"/>
      <c r="E49" s="2" t="s">
        <v>12</v>
      </c>
      <c r="F49" s="47" t="s">
        <v>168</v>
      </c>
      <c r="G49" s="41" t="str">
        <f>IF(E49=M,IF(I49&lt;=MBP,MB,IF(I49&lt;=MIP,MI,MA)),IF(E49=W,IF(I49&lt;=WBP,WB,IF(I49&lt;=WIP,WI,WA))))</f>
        <v>MB</v>
      </c>
      <c r="H49" s="9">
        <f>RANK(I49,$I$4:$I$96,0)</f>
        <v>55</v>
      </c>
      <c r="I49" s="23">
        <f>CEILING(SUM(LARGE(J49:BI49,{1,2,3,4,5})),1)</f>
        <v>1086</v>
      </c>
      <c r="J49" s="12">
        <f>ZY*F</f>
        <v>209.00000000000003</v>
      </c>
      <c r="K49" s="12">
        <f>ZBB*F</f>
        <v>407.00000000000006</v>
      </c>
      <c r="L49" s="12">
        <f>ZV*F</f>
        <v>269.5</v>
      </c>
      <c r="M49" s="12">
        <f>ZA</f>
        <v>200</v>
      </c>
      <c r="N49" s="12">
        <v>0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</row>
    <row r="50" spans="2:70" s="1" customFormat="1" ht="21" x14ac:dyDescent="0.35">
      <c r="B50" s="4"/>
      <c r="C50" s="2" t="s">
        <v>124</v>
      </c>
      <c r="D50" s="2"/>
      <c r="E50" s="2" t="s">
        <v>12</v>
      </c>
      <c r="F50" s="2" t="s">
        <v>141</v>
      </c>
      <c r="G50" s="41" t="str">
        <f>IF(E50=M,IF(I50&lt;=MBP,MB,IF(I50&lt;=MIP,MI,MA)),IF(E50=W,IF(I50&lt;=WBP,WB,IF(I50&lt;=WIP,WI,WA))))</f>
        <v>MB</v>
      </c>
      <c r="H50" s="9">
        <f>RANK(I50,$I$4:$I$96,0)</f>
        <v>50</v>
      </c>
      <c r="I50" s="23">
        <f>CEILING(SUM(LARGE(J50:BI50,{1,2,3,4,5})),1)</f>
        <v>1271</v>
      </c>
      <c r="J50" s="12">
        <f>ZY*F</f>
        <v>209.00000000000003</v>
      </c>
      <c r="K50" s="12">
        <f>ZC*F</f>
        <v>165</v>
      </c>
      <c r="L50" s="12">
        <f>ZA*F</f>
        <v>220.00000000000003</v>
      </c>
      <c r="M50" s="12">
        <f>ZV*F</f>
        <v>269.5</v>
      </c>
      <c r="N50" s="12">
        <f>ZBB*F</f>
        <v>407.00000000000006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</row>
    <row r="51" spans="2:70" s="1" customFormat="1" ht="21" x14ac:dyDescent="0.35">
      <c r="B51" s="4"/>
      <c r="C51" s="4" t="s">
        <v>124</v>
      </c>
      <c r="D51" s="46"/>
      <c r="E51" s="2" t="s">
        <v>22</v>
      </c>
      <c r="F51" s="47" t="s">
        <v>139</v>
      </c>
      <c r="G51" s="41" t="str">
        <f>IF(E51=M,IF(I51&lt;=MBP,MB,IF(I51&lt;=MIP,MI,MA)),IF(E51=W,IF(I51&lt;=WBP,WB,IF(I51&lt;=WIP,WI,WA))))</f>
        <v>WB</v>
      </c>
      <c r="H51" s="9">
        <f>RANK(I51,$I$4:$I$96,0)</f>
        <v>48</v>
      </c>
      <c r="I51" s="23">
        <f>CEILING(SUM(LARGE(J51:BI51,{1,2,3,4,5})),1)</f>
        <v>1299</v>
      </c>
      <c r="J51" s="12">
        <f>ZBB</f>
        <v>370</v>
      </c>
      <c r="K51" s="12">
        <f>ZA*F</f>
        <v>220.00000000000003</v>
      </c>
      <c r="L51" s="12">
        <f>ZY*F</f>
        <v>209.00000000000003</v>
      </c>
      <c r="M51" s="12">
        <f>ZV*F</f>
        <v>269.5</v>
      </c>
      <c r="N51" s="12">
        <f>ZP</f>
        <v>230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</row>
    <row r="52" spans="2:70" s="1" customFormat="1" ht="21" x14ac:dyDescent="0.35">
      <c r="B52" s="4"/>
      <c r="C52" s="2" t="s">
        <v>124</v>
      </c>
      <c r="D52" s="46"/>
      <c r="E52" s="2" t="s">
        <v>12</v>
      </c>
      <c r="F52" s="47" t="s">
        <v>171</v>
      </c>
      <c r="G52" s="41" t="str">
        <f>IF(E52=M,IF(I52&lt;=MBP,MB,IF(I52&lt;=MIP,MI,MA)),IF(E52=W,IF(I52&lt;=WBP,WB,IF(I52&lt;=WIP,WI,WA))))</f>
        <v>MA</v>
      </c>
      <c r="H52" s="9">
        <f>RANK(I52,$I$4:$I$96,0)</f>
        <v>10</v>
      </c>
      <c r="I52" s="23">
        <f>CEILING(SUM(LARGE(J52:BI52,{1,2,3,4,5})),1)</f>
        <v>2519</v>
      </c>
      <c r="J52" s="12">
        <f>ZD*F</f>
        <v>484.00000000000006</v>
      </c>
      <c r="K52" s="12">
        <f>ZF*F</f>
        <v>605</v>
      </c>
      <c r="L52" s="12">
        <f>ZDD</f>
        <v>470</v>
      </c>
      <c r="M52" s="12">
        <f>ZCC</f>
        <v>520</v>
      </c>
      <c r="N52" s="12">
        <f>ZN*F</f>
        <v>440.00000000000006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</row>
    <row r="53" spans="2:70" s="1" customFormat="1" ht="21" x14ac:dyDescent="0.35">
      <c r="B53" s="4"/>
      <c r="C53" s="2" t="s">
        <v>124</v>
      </c>
      <c r="D53" s="2"/>
      <c r="E53" s="2" t="s">
        <v>12</v>
      </c>
      <c r="F53" s="2" t="s">
        <v>203</v>
      </c>
      <c r="G53" s="41" t="str">
        <f>IF(E53=M,IF(I53&lt;=MBP,MB,IF(I53&lt;=MIP,MI,MA)),IF(E53=W,IF(I53&lt;=WBP,WB,IF(I53&lt;=WIP,WI,WA))))</f>
        <v>MI</v>
      </c>
      <c r="H53" s="9">
        <f>RANK(I53,$I$4:$I$96,0)</f>
        <v>33</v>
      </c>
      <c r="I53" s="23">
        <f>CEILING(SUM(LARGE(J53:BI53,{1,2,3,4,5})),1)</f>
        <v>1682</v>
      </c>
      <c r="J53" s="12">
        <f>ZL*F</f>
        <v>286</v>
      </c>
      <c r="K53" s="12">
        <f>ZK*F</f>
        <v>374.00000000000006</v>
      </c>
      <c r="L53" s="12">
        <f>ZFF</f>
        <v>450</v>
      </c>
      <c r="M53" s="12">
        <f>ZCC*F</f>
        <v>572</v>
      </c>
      <c r="N53" s="12">
        <v>0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</row>
    <row r="54" spans="2:70" s="1" customFormat="1" ht="21" x14ac:dyDescent="0.35">
      <c r="B54" s="4"/>
      <c r="C54" s="2" t="s">
        <v>140</v>
      </c>
      <c r="D54" s="2"/>
      <c r="E54" s="2" t="s">
        <v>12</v>
      </c>
      <c r="F54" s="2" t="s">
        <v>145</v>
      </c>
      <c r="G54" s="41" t="str">
        <f>IF(E54=M,IF(I54&lt;=MBP,MB,IF(I54&lt;=MIP,MI,MA)),IF(E54=W,IF(I54&lt;=WBP,WB,IF(I54&lt;=WIP,WI,WA))))</f>
        <v>MA</v>
      </c>
      <c r="H54" s="9">
        <f>RANK(I54,$I$4:$I$96,0)</f>
        <v>1</v>
      </c>
      <c r="I54" s="23">
        <f>CEILING(SUM(LARGE(J54:BI54,{1,2,3,4,5})),1)</f>
        <v>3434</v>
      </c>
      <c r="J54" s="12">
        <f>ZZ</f>
        <v>720</v>
      </c>
      <c r="K54" s="12">
        <f>ZH*F</f>
        <v>715.00000000000011</v>
      </c>
      <c r="L54" s="12">
        <f>ZE</f>
        <v>690</v>
      </c>
      <c r="M54" s="12">
        <f>ZB*F</f>
        <v>660</v>
      </c>
      <c r="N54" s="12">
        <f>ZI*F</f>
        <v>649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</row>
    <row r="55" spans="2:70" s="1" customFormat="1" ht="21" x14ac:dyDescent="0.35">
      <c r="B55" s="4"/>
      <c r="C55" s="2" t="s">
        <v>124</v>
      </c>
      <c r="D55" s="2"/>
      <c r="E55" s="2" t="s">
        <v>22</v>
      </c>
      <c r="F55" s="2" t="s">
        <v>132</v>
      </c>
      <c r="G55" s="41" t="str">
        <f>IF(E55=M,IF(I55&lt;=MBP,MB,IF(I55&lt;=MIP,MI,MA)),IF(E55=W,IF(I55&lt;=WBP,WB,IF(I55&lt;=WIP,WI,WA))))</f>
        <v>WB</v>
      </c>
      <c r="H55" s="9">
        <f>RANK(I55,$I$4:$I$96,0)</f>
        <v>54</v>
      </c>
      <c r="I55" s="23">
        <f>CEILING(SUM(LARGE(J55:BI55,{1,2,3,4,5})),1)</f>
        <v>1212</v>
      </c>
      <c r="J55" s="12">
        <f>ZY*F</f>
        <v>209.00000000000003</v>
      </c>
      <c r="K55" s="12">
        <f>ZA*F</f>
        <v>220.00000000000003</v>
      </c>
      <c r="L55" s="12">
        <f>ZV*F</f>
        <v>269.5</v>
      </c>
      <c r="M55" s="12">
        <f>ZP*F</f>
        <v>253.00000000000003</v>
      </c>
      <c r="N55" s="12">
        <f>ZL</f>
        <v>260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</row>
    <row r="56" spans="2:70" s="1" customFormat="1" ht="21" x14ac:dyDescent="0.35">
      <c r="B56" s="4"/>
      <c r="C56" s="2" t="s">
        <v>124</v>
      </c>
      <c r="D56" s="2"/>
      <c r="E56" s="2" t="s">
        <v>12</v>
      </c>
      <c r="F56" s="2" t="s">
        <v>175</v>
      </c>
      <c r="G56" s="41" t="str">
        <f>IF(E56=M,IF(I56&lt;=MBP,MB,IF(I56&lt;=MIP,MI,MA)),IF(E56=W,IF(I56&lt;=WBP,WB,IF(I56&lt;=WIP,WI,WA))))</f>
        <v>MB</v>
      </c>
      <c r="H56" s="9">
        <f>RANK(I56,$I$4:$I$96,0)</f>
        <v>51</v>
      </c>
      <c r="I56" s="23">
        <f>CEILING(SUM(LARGE(J56:BI56,{1,2,3,4,5})),1)</f>
        <v>1260</v>
      </c>
      <c r="J56" s="12">
        <f>ZA*F</f>
        <v>220.00000000000003</v>
      </c>
      <c r="K56" s="12">
        <f>ZY*F</f>
        <v>209.00000000000003</v>
      </c>
      <c r="L56" s="12">
        <f>ZBB*F</f>
        <v>407.00000000000006</v>
      </c>
      <c r="M56" s="12">
        <f>ZJ*F</f>
        <v>423.50000000000006</v>
      </c>
      <c r="N56" s="12">
        <v>0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</row>
    <row r="57" spans="2:70" s="1" customFormat="1" ht="21" x14ac:dyDescent="0.35">
      <c r="B57" s="4"/>
      <c r="C57" s="2" t="s">
        <v>124</v>
      </c>
      <c r="D57" s="2"/>
      <c r="E57" s="2" t="s">
        <v>22</v>
      </c>
      <c r="F57" s="2" t="s">
        <v>189</v>
      </c>
      <c r="G57" s="41" t="str">
        <f>IF(E57=M,IF(I57&lt;=MBP,MB,IF(I57&lt;=MIP,MI,MA)),IF(E57=W,IF(I57&lt;=WBP,WB,IF(I57&lt;=WIP,WI,WA))))</f>
        <v>WI</v>
      </c>
      <c r="H57" s="9">
        <f>RANK(I57,$I$4:$I$96,0)</f>
        <v>34</v>
      </c>
      <c r="I57" s="23">
        <f>CEILING(SUM(LARGE(J57:BI57,{1,2,3,4,5})),1)</f>
        <v>1628</v>
      </c>
      <c r="J57" s="12">
        <f>ZJ</f>
        <v>385</v>
      </c>
      <c r="K57" s="12">
        <f>ZBB</f>
        <v>370</v>
      </c>
      <c r="L57" s="12">
        <f>ZS</f>
        <v>350</v>
      </c>
      <c r="M57" s="12">
        <f>ZP*F</f>
        <v>253.00000000000003</v>
      </c>
      <c r="N57" s="12">
        <f>ZV*F</f>
        <v>269.5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</row>
    <row r="58" spans="2:70" s="1" customFormat="1" ht="21" x14ac:dyDescent="0.35">
      <c r="B58" s="4"/>
      <c r="C58" s="2" t="s">
        <v>136</v>
      </c>
      <c r="D58" s="2"/>
      <c r="E58" s="2" t="s">
        <v>12</v>
      </c>
      <c r="F58" s="2" t="s">
        <v>180</v>
      </c>
      <c r="G58" s="41" t="str">
        <f>IF(E58=M,IF(I58&lt;=MBP,MB,IF(I58&lt;=MIP,MI,MA)),IF(E58=W,IF(I58&lt;=WBP,WB,IF(I58&lt;=WIP,WI,WA))))</f>
        <v>MI</v>
      </c>
      <c r="H58" s="9">
        <f>RANK(I58,$I$4:$I$96,0)</f>
        <v>19</v>
      </c>
      <c r="I58" s="23">
        <f>CEILING(SUM(LARGE(J58:BI58,{1,2,3,4,5})),1)</f>
        <v>2090</v>
      </c>
      <c r="J58" s="12">
        <f>ZS*F</f>
        <v>385.00000000000006</v>
      </c>
      <c r="K58" s="12">
        <f>ZJ</f>
        <v>385</v>
      </c>
      <c r="L58" s="12">
        <f>ZD*F</f>
        <v>484.00000000000006</v>
      </c>
      <c r="M58" s="12">
        <f>ZX*F</f>
        <v>429.00000000000006</v>
      </c>
      <c r="N58" s="12">
        <f>ZBB*F</f>
        <v>407.00000000000006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</row>
    <row r="59" spans="2:70" s="1" customFormat="1" ht="21" x14ac:dyDescent="0.35">
      <c r="B59" s="4"/>
      <c r="C59" s="2" t="s">
        <v>125</v>
      </c>
      <c r="D59" s="2"/>
      <c r="E59" s="2" t="s">
        <v>12</v>
      </c>
      <c r="F59" s="2" t="s">
        <v>192</v>
      </c>
      <c r="G59" s="41" t="str">
        <f>IF(E59=M,IF(I59&lt;=MBP,MB,IF(I59&lt;=MIP,MI,MA)),IF(E59=W,IF(I59&lt;=WBP,WB,IF(I59&lt;=WIP,WI,WA))))</f>
        <v>MA</v>
      </c>
      <c r="H59" s="9">
        <f>RANK(I59,$I$4:$I$96,0)</f>
        <v>6</v>
      </c>
      <c r="I59" s="23">
        <f>CEILING(SUM(LARGE(J59:BI59,{1,2,3,4,5})),1)</f>
        <v>3009</v>
      </c>
      <c r="J59" s="12">
        <f>ZDD*F</f>
        <v>517</v>
      </c>
      <c r="K59" s="12">
        <f>ZH*F</f>
        <v>715.00000000000011</v>
      </c>
      <c r="L59" s="12">
        <f>ZF*F</f>
        <v>605</v>
      </c>
      <c r="M59" s="12">
        <f>ZB</f>
        <v>600</v>
      </c>
      <c r="N59" s="12">
        <f>ZCC*F</f>
        <v>572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</row>
    <row r="60" spans="2:70" s="1" customFormat="1" ht="21" x14ac:dyDescent="0.35">
      <c r="B60" s="4"/>
      <c r="C60" s="4" t="s">
        <v>125</v>
      </c>
      <c r="D60" s="4"/>
      <c r="E60" s="2" t="s">
        <v>12</v>
      </c>
      <c r="F60" s="47" t="s">
        <v>169</v>
      </c>
      <c r="G60" s="41" t="str">
        <f>IF(E60=M,IF(I60&lt;=MBP,MB,IF(I60&lt;=MIP,MI,MA)),IF(E60=W,IF(I60&lt;=WBP,WB,IF(I60&lt;=WIP,WI,WA))))</f>
        <v>MB</v>
      </c>
      <c r="H60" s="9">
        <f>RANK(I60,$I$4:$I$96,0)</f>
        <v>43</v>
      </c>
      <c r="I60" s="23">
        <f>CEILING(SUM(LARGE(J60:BI60,{1,2,3,4,5})),1)</f>
        <v>1370</v>
      </c>
      <c r="J60" s="12">
        <f>ZBB*F</f>
        <v>407.00000000000006</v>
      </c>
      <c r="K60" s="12">
        <f>ZY*F</f>
        <v>209.00000000000003</v>
      </c>
      <c r="L60" s="12">
        <f>ZO*F</f>
        <v>330</v>
      </c>
      <c r="M60" s="12">
        <f>ZV*F</f>
        <v>269.5</v>
      </c>
      <c r="N60" s="12">
        <f>ZT*F</f>
        <v>154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</row>
    <row r="61" spans="2:70" s="1" customFormat="1" ht="21" x14ac:dyDescent="0.35">
      <c r="B61" s="4"/>
      <c r="C61" s="2" t="s">
        <v>125</v>
      </c>
      <c r="D61" s="2"/>
      <c r="E61" s="2" t="s">
        <v>12</v>
      </c>
      <c r="F61" s="2" t="s">
        <v>155</v>
      </c>
      <c r="G61" s="41" t="str">
        <f>IF(E61=M,IF(I61&lt;=MBP,MB,IF(I61&lt;=MIP,MI,MA)),IF(E61=W,IF(I61&lt;=WBP,WB,IF(I61&lt;=WIP,WI,WA))))</f>
        <v>MI</v>
      </c>
      <c r="H61" s="9">
        <f>RANK(I61,$I$4:$I$96,0)</f>
        <v>25</v>
      </c>
      <c r="I61" s="23">
        <f>CEILING(SUM(LARGE(J61:BI61,{1,2,3,4,5})),1)</f>
        <v>1905</v>
      </c>
      <c r="J61" s="12">
        <f>ZJ*F</f>
        <v>423.50000000000006</v>
      </c>
      <c r="K61" s="12">
        <f>ZL</f>
        <v>260</v>
      </c>
      <c r="L61" s="12">
        <f>ZO*F</f>
        <v>330</v>
      </c>
      <c r="M61" s="12">
        <f>ZBB*F</f>
        <v>407.00000000000006</v>
      </c>
      <c r="N61" s="12">
        <f>ZD*F</f>
        <v>484.00000000000006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</row>
    <row r="62" spans="2:70" s="1" customFormat="1" ht="21" x14ac:dyDescent="0.35">
      <c r="B62" s="4"/>
      <c r="C62" s="2" t="s">
        <v>125</v>
      </c>
      <c r="D62" s="2"/>
      <c r="E62" s="2" t="s">
        <v>12</v>
      </c>
      <c r="F62" s="2" t="s">
        <v>166</v>
      </c>
      <c r="G62" s="41" t="str">
        <f>IF(E62=M,IF(I62&lt;=MBP,MB,IF(I62&lt;=MIP,MI,MA)),IF(E62=W,IF(I62&lt;=WBP,WB,IF(I62&lt;=WIP,WI,WA))))</f>
        <v>MI</v>
      </c>
      <c r="H62" s="9">
        <f>RANK(I62,$I$4:$I$96,0)</f>
        <v>19</v>
      </c>
      <c r="I62" s="23">
        <f>CEILING(SUM(LARGE(J62:BI62,{1,2,3,4,5})),1)</f>
        <v>2090</v>
      </c>
      <c r="J62" s="12">
        <f>ZBB*F</f>
        <v>407.00000000000006</v>
      </c>
      <c r="K62" s="12">
        <f>ZS*F</f>
        <v>385.00000000000006</v>
      </c>
      <c r="L62" s="12">
        <f>ZD*F</f>
        <v>484.00000000000006</v>
      </c>
      <c r="M62" s="12">
        <f>ZJ*F</f>
        <v>423.50000000000006</v>
      </c>
      <c r="N62" s="12">
        <f>ZX</f>
        <v>390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</row>
    <row r="63" spans="2:70" s="1" customFormat="1" ht="21" x14ac:dyDescent="0.35">
      <c r="B63" s="4"/>
      <c r="C63" s="4" t="s">
        <v>124</v>
      </c>
      <c r="D63" s="46"/>
      <c r="E63" s="2" t="s">
        <v>12</v>
      </c>
      <c r="F63" s="47" t="s">
        <v>151</v>
      </c>
      <c r="G63" s="41" t="str">
        <f>IF(E63=M,IF(I63&lt;=MBP,MB,IF(I63&lt;=MIP,MI,MA)),IF(E63=W,IF(I63&lt;=WBP,WB,IF(I63&lt;=WIP,WI,WA))))</f>
        <v>MA</v>
      </c>
      <c r="H63" s="9">
        <f>RANK(I63,$I$4:$I$96,0)</f>
        <v>11</v>
      </c>
      <c r="I63" s="23">
        <f>CEILING(SUM(LARGE(J63:BI63,{1,2,3,4,5})),1)</f>
        <v>2505</v>
      </c>
      <c r="J63" s="12">
        <f>ZF</f>
        <v>550</v>
      </c>
      <c r="K63" s="12">
        <f>ZCC*F</f>
        <v>572</v>
      </c>
      <c r="L63" s="12">
        <f>ZDD</f>
        <v>470</v>
      </c>
      <c r="M63" s="12">
        <f>ZD*F</f>
        <v>484.00000000000006</v>
      </c>
      <c r="N63" s="12">
        <f>ZX*F</f>
        <v>429.00000000000006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</row>
    <row r="64" spans="2:70" s="1" customFormat="1" ht="21" x14ac:dyDescent="0.35">
      <c r="B64" s="4"/>
      <c r="C64" s="4" t="s">
        <v>125</v>
      </c>
      <c r="D64" s="46"/>
      <c r="E64" s="2" t="s">
        <v>22</v>
      </c>
      <c r="F64" s="47" t="s">
        <v>133</v>
      </c>
      <c r="G64" s="41" t="str">
        <f>IF(E64=M,IF(I64&lt;=MBP,MB,IF(I64&lt;=MIP,MI,MA)),IF(E64=W,IF(I64&lt;=WBP,WB,IF(I64&lt;=WIP,WI,WA))))</f>
        <v>WI</v>
      </c>
      <c r="H64" s="9">
        <f>RANK(I64,$I$4:$I$96,0)</f>
        <v>39</v>
      </c>
      <c r="I64" s="23">
        <f>CEILING(SUM(LARGE(J64:BI64,{1,2,3,4,5})),1)</f>
        <v>1476</v>
      </c>
      <c r="J64" s="12">
        <f>ZA*F</f>
        <v>220.00000000000003</v>
      </c>
      <c r="K64" s="12">
        <f>ZV*F</f>
        <v>269.5</v>
      </c>
      <c r="L64" s="12">
        <f>ZL*F</f>
        <v>286</v>
      </c>
      <c r="M64" s="12">
        <f>ZBB</f>
        <v>370</v>
      </c>
      <c r="N64" s="12">
        <f>ZQ*F</f>
        <v>330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</row>
    <row r="65" spans="2:70" s="1" customFormat="1" ht="21" x14ac:dyDescent="0.35">
      <c r="B65" s="4"/>
      <c r="C65" s="2" t="s">
        <v>140</v>
      </c>
      <c r="D65" s="2"/>
      <c r="E65" s="2" t="s">
        <v>12</v>
      </c>
      <c r="F65" s="2" t="s">
        <v>201</v>
      </c>
      <c r="G65" s="41" t="str">
        <f>IF(E65=M,IF(I65&lt;=MBP,MB,IF(I65&lt;=MIP,MI,MA)),IF(E65=W,IF(I65&lt;=WBP,WB,IF(I65&lt;=WIP,WI,WA))))</f>
        <v>MA</v>
      </c>
      <c r="H65" s="9">
        <f>RANK(I65,$I$4:$I$96,0)</f>
        <v>3</v>
      </c>
      <c r="I65" s="23">
        <f>CEILING(SUM(LARGE(J65:BI65,{1,2,3,4,5})),1)</f>
        <v>3388</v>
      </c>
      <c r="J65" s="12">
        <f>ZF*F</f>
        <v>605</v>
      </c>
      <c r="K65" s="12">
        <f>ZB*F</f>
        <v>660</v>
      </c>
      <c r="L65" s="12">
        <f>ZCC*F</f>
        <v>572</v>
      </c>
      <c r="M65" s="12">
        <f>ZZ*F</f>
        <v>792.00000000000011</v>
      </c>
      <c r="N65" s="12">
        <f>ZE*F</f>
        <v>759.00000000000011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</row>
    <row r="66" spans="2:70" s="1" customFormat="1" ht="21" x14ac:dyDescent="0.35">
      <c r="B66" s="4"/>
      <c r="C66" s="4" t="s">
        <v>124</v>
      </c>
      <c r="D66" s="46"/>
      <c r="E66" s="2" t="s">
        <v>22</v>
      </c>
      <c r="F66" s="47" t="s">
        <v>186</v>
      </c>
      <c r="G66" s="41" t="str">
        <f>IF(E66=M,IF(I66&lt;=MBP,MB,IF(I66&lt;=MIP,MI,MA)),IF(E66=W,IF(I66&lt;=WBP,WB,IF(I66&lt;=WIP,WI,WA))))</f>
        <v>WI</v>
      </c>
      <c r="H66" s="9">
        <f>RANK(I66,$I$4:$I$96,0)</f>
        <v>30</v>
      </c>
      <c r="I66" s="23">
        <f>CEILING(SUM(LARGE(J66:BI66,{1,2,3,4,5})),1)</f>
        <v>1732</v>
      </c>
      <c r="J66" s="12">
        <f>ZN</f>
        <v>400</v>
      </c>
      <c r="K66" s="12">
        <f>ZO*F</f>
        <v>330</v>
      </c>
      <c r="L66" s="12">
        <f>ZV</f>
        <v>245</v>
      </c>
      <c r="M66" s="12">
        <f>ZBB*F</f>
        <v>407.00000000000006</v>
      </c>
      <c r="N66" s="12">
        <f>ZS</f>
        <v>350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</row>
    <row r="67" spans="2:70" s="1" customFormat="1" ht="21" x14ac:dyDescent="0.35">
      <c r="B67" s="4"/>
      <c r="C67" s="2" t="s">
        <v>124</v>
      </c>
      <c r="D67" s="46"/>
      <c r="E67" s="2" t="s">
        <v>22</v>
      </c>
      <c r="F67" s="47" t="s">
        <v>161</v>
      </c>
      <c r="G67" s="41" t="str">
        <f>IF(E67=M,IF(I67&lt;=MBP,MB,IF(I67&lt;=MIP,MI,MA)),IF(E67=W,IF(I67&lt;=WBP,WB,IF(I67&lt;=WIP,WI,WA))))</f>
        <v>WB</v>
      </c>
      <c r="H67" s="9">
        <f>RANK(I67,$I$4:$I$96,0)</f>
        <v>63</v>
      </c>
      <c r="I67" s="23">
        <f>CEILING(SUM(LARGE(J67:BI67,{1,2,3,4,5})),1)</f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</row>
    <row r="68" spans="2:70" s="1" customFormat="1" ht="21" x14ac:dyDescent="0.35">
      <c r="B68" s="4"/>
      <c r="C68" s="2" t="s">
        <v>140</v>
      </c>
      <c r="D68" s="2"/>
      <c r="E68" s="2" t="s">
        <v>12</v>
      </c>
      <c r="F68" s="2" t="s">
        <v>194</v>
      </c>
      <c r="G68" s="41" t="str">
        <f>IF(E68=M,IF(I68&lt;=MBP,MB,IF(I68&lt;=MIP,MI,MA)),IF(E68=W,IF(I68&lt;=WBP,WB,IF(I68&lt;=WIP,WI,WA))))</f>
        <v>MA</v>
      </c>
      <c r="H68" s="9">
        <f>RANK(I68,$I$4:$I$96,0)</f>
        <v>2</v>
      </c>
      <c r="I68" s="23">
        <f>CEILING(SUM(LARGE(J68:BI68,{1,2,3,4,5})),1)</f>
        <v>3390</v>
      </c>
      <c r="J68" s="12">
        <f>ZF*F</f>
        <v>605</v>
      </c>
      <c r="K68" s="12">
        <f>ZB*F</f>
        <v>660</v>
      </c>
      <c r="L68" s="12">
        <f>ZH*F</f>
        <v>715.00000000000011</v>
      </c>
      <c r="M68" s="12">
        <f>ZE</f>
        <v>690</v>
      </c>
      <c r="N68" s="12">
        <f>ZZ</f>
        <v>720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</row>
    <row r="69" spans="2:70" s="1" customFormat="1" ht="21" x14ac:dyDescent="0.35">
      <c r="B69" s="4"/>
      <c r="C69" s="2" t="s">
        <v>140</v>
      </c>
      <c r="D69" s="2"/>
      <c r="E69" s="2" t="s">
        <v>22</v>
      </c>
      <c r="F69" s="2" t="s">
        <v>162</v>
      </c>
      <c r="G69" s="41" t="str">
        <f>IF(E69=M,IF(I69&lt;=MBP,MB,IF(I69&lt;=MIP,MI,MA)),IF(E69=W,IF(I69&lt;=WBP,WB,IF(I69&lt;=WIP,WI,WA))))</f>
        <v>WB</v>
      </c>
      <c r="H69" s="9">
        <f>RANK(I69,$I$4:$I$96,0)</f>
        <v>63</v>
      </c>
      <c r="I69" s="23">
        <f>CEILING(SUM(LARGE(J69:BI69,{1,2,3,4,5})),1)</f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</row>
    <row r="70" spans="2:70" s="1" customFormat="1" ht="21" x14ac:dyDescent="0.35">
      <c r="B70" s="4"/>
      <c r="C70" s="2"/>
      <c r="D70" s="2"/>
      <c r="E70" s="2"/>
      <c r="F70" s="2"/>
      <c r="G70" s="5" t="b">
        <f>IF(E70=M,IF(I70&lt;=MBP,MB,IF(I70&lt;=MIP,MI,MA)),IF(E70=W,IF(I70&lt;=WBP,WB,IF(I70&lt;=WIP,WI,WA))))</f>
        <v>0</v>
      </c>
      <c r="H70" s="9">
        <f>RANK(I70,$I$4:$I$96,0)</f>
        <v>63</v>
      </c>
      <c r="I70" s="23">
        <f>CEILING(SUM(LARGE(J70:BI70,{1,2,3,4,5})),1)</f>
        <v>0</v>
      </c>
      <c r="J70" s="26">
        <v>0</v>
      </c>
      <c r="K70" s="24">
        <v>0</v>
      </c>
      <c r="L70" s="3">
        <v>0</v>
      </c>
      <c r="M70" s="3">
        <v>0</v>
      </c>
      <c r="N70" s="12">
        <v>0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</row>
    <row r="71" spans="2:70" s="1" customFormat="1" ht="21" x14ac:dyDescent="0.35">
      <c r="B71" s="4"/>
      <c r="C71" s="2"/>
      <c r="D71" s="2"/>
      <c r="E71" s="2"/>
      <c r="F71" s="2"/>
      <c r="G71" s="5" t="b">
        <f>IF(E71=M,IF(I71&lt;=MBP,MB,IF(I71&lt;=MIP,MI,MA)),IF(E71=W,IF(I71&lt;=WBP,WB,IF(I71&lt;=WIP,WI,WA))))</f>
        <v>0</v>
      </c>
      <c r="H71" s="9">
        <f>RANK(I71,$I$4:$I$96,0)</f>
        <v>63</v>
      </c>
      <c r="I71" s="23">
        <f>CEILING(SUM(LARGE(J71:BI71,{1,2,3,4,5})),1)</f>
        <v>0</v>
      </c>
      <c r="J71" s="27">
        <v>0</v>
      </c>
      <c r="K71" s="24">
        <v>0</v>
      </c>
      <c r="L71" s="3">
        <v>0</v>
      </c>
      <c r="M71" s="3">
        <v>0</v>
      </c>
      <c r="N71" s="12">
        <v>0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</row>
    <row r="72" spans="2:70" s="1" customFormat="1" ht="21" x14ac:dyDescent="0.35">
      <c r="B72" s="4"/>
      <c r="C72" s="2"/>
      <c r="D72" s="2"/>
      <c r="E72" s="2"/>
      <c r="F72" s="2"/>
      <c r="G72" s="5" t="b">
        <f>IF(E72=M,IF(I72&lt;=MBP,MB,IF(I72&lt;=MIP,MI,MA)),IF(E72=W,IF(I72&lt;=WBP,WB,IF(I72&lt;=WIP,WI,WA))))</f>
        <v>0</v>
      </c>
      <c r="H72" s="9">
        <f>RANK(I72,$I$4:$I$96,0)</f>
        <v>63</v>
      </c>
      <c r="I72" s="28">
        <f>CEILING(SUM(LARGE(J72:BI72,{1,2,3,4,5})),1)</f>
        <v>0</v>
      </c>
      <c r="J72" s="26">
        <v>0</v>
      </c>
      <c r="K72" s="24">
        <v>0</v>
      </c>
      <c r="L72" s="3">
        <v>0</v>
      </c>
      <c r="M72" s="3">
        <v>0</v>
      </c>
      <c r="N72" s="12">
        <v>0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</row>
    <row r="73" spans="2:70" s="1" customFormat="1" ht="21" x14ac:dyDescent="0.35">
      <c r="B73" s="4"/>
      <c r="C73" s="2"/>
      <c r="D73" s="2"/>
      <c r="E73" s="2"/>
      <c r="F73" s="2"/>
      <c r="G73" s="5" t="b">
        <f>IF(E73=M,IF(I73&lt;=MBP,MB,IF(I73&lt;=MIP,MI,MA)),IF(E73=W,IF(I73&lt;=WBP,WB,IF(I73&lt;=WIP,WI,WA))))</f>
        <v>0</v>
      </c>
      <c r="H73" s="9">
        <f>RANK(I73,$I$4:$I$96,0)</f>
        <v>63</v>
      </c>
      <c r="I73" s="23">
        <f>CEILING(SUM(LARGE(J73:BI73,{1,2,3,4,5})),1)</f>
        <v>0</v>
      </c>
      <c r="J73" s="31">
        <v>0</v>
      </c>
      <c r="K73" s="24">
        <v>0</v>
      </c>
      <c r="L73" s="3">
        <v>0</v>
      </c>
      <c r="M73" s="3">
        <v>0</v>
      </c>
      <c r="N73" s="12">
        <v>0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</row>
    <row r="74" spans="2:70" s="1" customFormat="1" ht="21" x14ac:dyDescent="0.35">
      <c r="B74" s="4"/>
      <c r="C74" s="2"/>
      <c r="D74" s="2"/>
      <c r="E74" s="2"/>
      <c r="F74" s="2"/>
      <c r="G74" s="5" t="b">
        <f>IF(E74=M,IF(I74&lt;=MBP,MB,IF(I74&lt;=MIP,MI,MA)),IF(E74=W,IF(I74&lt;=WBP,WB,IF(I74&lt;=WIP,WI,WA))))</f>
        <v>0</v>
      </c>
      <c r="H74" s="9">
        <f>RANK(I74,$I$4:$I$96,0)</f>
        <v>63</v>
      </c>
      <c r="I74" s="23">
        <f>CEILING(SUM(LARGE(J74:BI74,{1,2,3,4,5})),1)</f>
        <v>0</v>
      </c>
      <c r="J74" s="26">
        <v>0</v>
      </c>
      <c r="K74" s="24">
        <v>0</v>
      </c>
      <c r="L74" s="3">
        <v>0</v>
      </c>
      <c r="M74" s="3">
        <v>0</v>
      </c>
      <c r="N74" s="12">
        <v>0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</row>
    <row r="75" spans="2:70" s="1" customFormat="1" ht="21" x14ac:dyDescent="0.35">
      <c r="B75" s="4"/>
      <c r="C75" s="2"/>
      <c r="D75" s="2"/>
      <c r="E75" s="2"/>
      <c r="F75" s="2"/>
      <c r="G75" s="5" t="b">
        <f>IF(E75=M,IF(I75&lt;=MBP,MB,IF(I75&lt;=MIP,MI,MA)),IF(E75=W,IF(I75&lt;=WBP,WB,IF(I75&lt;=WIP,WI,WA))))</f>
        <v>0</v>
      </c>
      <c r="H75" s="9">
        <f>RANK(I75,$I$4:$I$96,0)</f>
        <v>63</v>
      </c>
      <c r="I75" s="23">
        <f>CEILING(SUM(LARGE(J75:BI75,{1,2,3,4,5})),1)</f>
        <v>0</v>
      </c>
      <c r="J75" s="26">
        <v>0</v>
      </c>
      <c r="K75" s="24">
        <v>0</v>
      </c>
      <c r="L75" s="3">
        <v>0</v>
      </c>
      <c r="M75" s="3">
        <v>0</v>
      </c>
      <c r="N75" s="12">
        <v>0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</row>
    <row r="76" spans="2:70" s="1" customFormat="1" ht="21" x14ac:dyDescent="0.35">
      <c r="B76" s="4"/>
      <c r="C76" s="2"/>
      <c r="D76" s="2"/>
      <c r="E76" s="2"/>
      <c r="F76" s="2"/>
      <c r="G76" s="5" t="b">
        <f>IF(E76=M,IF(I76&lt;=MBP,MB,IF(I76&lt;=MIP,MI,MA)),IF(E76=W,IF(I76&lt;=WBP,WB,IF(I76&lt;=WIP,WI,WA))))</f>
        <v>0</v>
      </c>
      <c r="H76" s="9">
        <f>RANK(I76,$I$4:$I$96,0)</f>
        <v>63</v>
      </c>
      <c r="I76" s="23">
        <f>CEILING(SUM(LARGE(J76:BI76,{1,2,3,4,5})),1)</f>
        <v>0</v>
      </c>
      <c r="J76" s="26">
        <v>0</v>
      </c>
      <c r="K76" s="24">
        <v>0</v>
      </c>
      <c r="L76" s="3">
        <v>0</v>
      </c>
      <c r="M76" s="3">
        <v>0</v>
      </c>
      <c r="N76" s="12">
        <v>0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</row>
    <row r="77" spans="2:70" s="1" customFormat="1" ht="21" x14ac:dyDescent="0.35">
      <c r="B77" s="4"/>
      <c r="C77" s="2"/>
      <c r="D77" s="2"/>
      <c r="E77" s="2"/>
      <c r="F77" s="2"/>
      <c r="G77" s="5" t="b">
        <f>IF(E77=M,IF(I77&lt;=MBP,MB,IF(I77&lt;=MIP,MI,MA)),IF(E77=W,IF(I77&lt;=WBP,WB,IF(I77&lt;=WIP,WI,WA))))</f>
        <v>0</v>
      </c>
      <c r="H77" s="9">
        <f>RANK(I77,$I$4:$I$96,0)</f>
        <v>63</v>
      </c>
      <c r="I77" s="23">
        <f>CEILING(SUM(LARGE(J77:BI77,{1,2,3,4,5})),1)</f>
        <v>0</v>
      </c>
      <c r="J77" s="26">
        <v>0</v>
      </c>
      <c r="K77" s="24">
        <v>0</v>
      </c>
      <c r="L77" s="3">
        <v>0</v>
      </c>
      <c r="M77" s="3">
        <v>0</v>
      </c>
      <c r="N77" s="12">
        <v>0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</row>
    <row r="78" spans="2:70" s="1" customFormat="1" ht="21" x14ac:dyDescent="0.35">
      <c r="B78" s="4"/>
      <c r="C78" s="2"/>
      <c r="D78" s="2"/>
      <c r="E78" s="2"/>
      <c r="F78" s="2"/>
      <c r="G78" s="5" t="b">
        <f>IF(E78=M,IF(I78&lt;=MBP,MB,IF(I78&lt;=MIP,MI,MA)),IF(E78=W,IF(I78&lt;=WBP,WB,IF(I78&lt;=WIP,WI,WA))))</f>
        <v>0</v>
      </c>
      <c r="H78" s="9">
        <f>RANK(I78,$I$4:$I$96,0)</f>
        <v>63</v>
      </c>
      <c r="I78" s="23">
        <f>CEILING(SUM(LARGE(J78:BI78,{1,2,3,4,5})),1)</f>
        <v>0</v>
      </c>
      <c r="J78" s="26">
        <v>0</v>
      </c>
      <c r="K78" s="24">
        <v>0</v>
      </c>
      <c r="L78" s="3">
        <v>0</v>
      </c>
      <c r="M78" s="3">
        <v>0</v>
      </c>
      <c r="N78" s="12">
        <v>0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</row>
    <row r="79" spans="2:70" s="1" customFormat="1" ht="21" x14ac:dyDescent="0.35">
      <c r="B79" s="4"/>
      <c r="C79" s="2"/>
      <c r="D79" s="2"/>
      <c r="E79" s="2"/>
      <c r="F79" s="2"/>
      <c r="G79" s="5" t="b">
        <f>IF(E79=M,IF(I79&lt;=MBP,MB,IF(I79&lt;=MIP,MI,MA)),IF(E79=W,IF(I79&lt;=WBP,WB,IF(I79&lt;=WIP,WI,WA))))</f>
        <v>0</v>
      </c>
      <c r="H79" s="9">
        <f>RANK(I79,$I$4:$I$96,0)</f>
        <v>63</v>
      </c>
      <c r="I79" s="23">
        <f>CEILING(SUM(LARGE(J79:BI79,{1,2,3,4,5})),1)</f>
        <v>0</v>
      </c>
      <c r="J79" s="26">
        <v>0</v>
      </c>
      <c r="K79" s="24">
        <v>0</v>
      </c>
      <c r="L79" s="3">
        <v>0</v>
      </c>
      <c r="M79" s="3">
        <v>0</v>
      </c>
      <c r="N79" s="12">
        <v>0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</row>
    <row r="80" spans="2:70" s="1" customFormat="1" ht="21" x14ac:dyDescent="0.35">
      <c r="B80" s="4"/>
      <c r="C80" s="2"/>
      <c r="D80" s="2"/>
      <c r="E80" s="2"/>
      <c r="F80" s="2"/>
      <c r="G80" s="5" t="b">
        <f>IF(E80=M,IF(I80&lt;=MBP,MB,IF(I80&lt;=MIP,MI,MA)),IF(E80=W,IF(I80&lt;=WBP,WB,IF(I80&lt;=WIP,WI,WA))))</f>
        <v>0</v>
      </c>
      <c r="H80" s="9">
        <f>RANK(I80,$I$4:$I$96,0)</f>
        <v>63</v>
      </c>
      <c r="I80" s="23">
        <f>CEILING(SUM(LARGE(J80:BI80,{1,2,3,4,5})),1)</f>
        <v>0</v>
      </c>
      <c r="J80" s="26">
        <v>0</v>
      </c>
      <c r="K80" s="24">
        <v>0</v>
      </c>
      <c r="L80" s="3">
        <v>0</v>
      </c>
      <c r="M80" s="3">
        <v>0</v>
      </c>
      <c r="N80" s="12">
        <v>0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</row>
    <row r="81" spans="2:70" s="1" customFormat="1" ht="21" x14ac:dyDescent="0.35">
      <c r="B81" s="4"/>
      <c r="C81" s="2"/>
      <c r="D81" s="2"/>
      <c r="E81" s="2"/>
      <c r="F81" s="2"/>
      <c r="G81" s="5" t="b">
        <f>IF(E81=M,IF(I81&lt;=MBP,MB,IF(I81&lt;=MIP,MI,MA)),IF(E81=W,IF(I81&lt;=WBP,WB,IF(I81&lt;=WIP,WI,WA))))</f>
        <v>0</v>
      </c>
      <c r="H81" s="9">
        <f>RANK(I81,$I$4:$I$96,0)</f>
        <v>63</v>
      </c>
      <c r="I81" s="23">
        <f>CEILING(SUM(LARGE(J81:BI81,{1,2,3,4,5})),1)</f>
        <v>0</v>
      </c>
      <c r="J81" s="26">
        <v>0</v>
      </c>
      <c r="K81" s="24">
        <v>0</v>
      </c>
      <c r="L81" s="3">
        <v>0</v>
      </c>
      <c r="M81" s="3">
        <v>0</v>
      </c>
      <c r="N81" s="12">
        <v>0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</row>
    <row r="82" spans="2:70" s="1" customFormat="1" ht="21" x14ac:dyDescent="0.35">
      <c r="B82" s="4"/>
      <c r="C82" s="2"/>
      <c r="D82" s="2"/>
      <c r="E82" s="2"/>
      <c r="F82" s="2"/>
      <c r="G82" s="5" t="b">
        <f>IF(E82=M,IF(I82&lt;=MBP,MB,IF(I82&lt;=MIP,MI,MA)),IF(E82=W,IF(I82&lt;=WBP,WB,IF(I82&lt;=WIP,WI,WA))))</f>
        <v>0</v>
      </c>
      <c r="H82" s="9">
        <f>RANK(I82,$I$4:$I$96,0)</f>
        <v>63</v>
      </c>
      <c r="I82" s="23">
        <f>CEILING(SUM(LARGE(J82:BI82,{1,2,3,4,5})),1)</f>
        <v>0</v>
      </c>
      <c r="J82" s="26">
        <v>0</v>
      </c>
      <c r="K82" s="24">
        <v>0</v>
      </c>
      <c r="L82" s="3">
        <v>0</v>
      </c>
      <c r="M82" s="3">
        <v>0</v>
      </c>
      <c r="N82" s="12">
        <v>0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</row>
    <row r="83" spans="2:70" s="1" customFormat="1" ht="21" x14ac:dyDescent="0.35">
      <c r="B83" s="4"/>
      <c r="C83" s="2"/>
      <c r="D83" s="2"/>
      <c r="E83" s="2"/>
      <c r="F83" s="2"/>
      <c r="G83" s="5" t="b">
        <f>IF(E83=M,IF(I83&lt;=MBP,MB,IF(I83&lt;=MIP,MI,MA)),IF(E83=W,IF(I83&lt;=WBP,WB,IF(I83&lt;=WIP,WI,WA))))</f>
        <v>0</v>
      </c>
      <c r="H83" s="9">
        <f>RANK(I83,$I$4:$I$96,0)</f>
        <v>63</v>
      </c>
      <c r="I83" s="23">
        <f>CEILING(SUM(LARGE(J83:BI83,{1,2,3,4,5})),1)</f>
        <v>0</v>
      </c>
      <c r="J83" s="26">
        <v>0</v>
      </c>
      <c r="K83" s="24">
        <v>0</v>
      </c>
      <c r="L83" s="3">
        <v>0</v>
      </c>
      <c r="M83" s="3">
        <v>0</v>
      </c>
      <c r="N83" s="12">
        <v>0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</row>
    <row r="84" spans="2:70" s="1" customFormat="1" ht="21" x14ac:dyDescent="0.35">
      <c r="B84" s="4"/>
      <c r="C84" s="2"/>
      <c r="D84" s="2"/>
      <c r="E84" s="2"/>
      <c r="F84" s="2"/>
      <c r="G84" s="5" t="b">
        <f>IF(E84=M,IF(I84&lt;=MBP,MB,IF(I84&lt;=MIP,MI,MA)),IF(E84=W,IF(I84&lt;=WBP,WB,IF(I84&lt;=WIP,WI,WA))))</f>
        <v>0</v>
      </c>
      <c r="H84" s="9">
        <f>RANK(I84,$I$4:$I$96,0)</f>
        <v>63</v>
      </c>
      <c r="I84" s="23">
        <f>CEILING(SUM(LARGE(J84:BI84,{1,2,3,4,5})),1)</f>
        <v>0</v>
      </c>
      <c r="J84" s="26">
        <v>0</v>
      </c>
      <c r="K84" s="24">
        <v>0</v>
      </c>
      <c r="L84" s="3">
        <v>0</v>
      </c>
      <c r="M84" s="3">
        <v>0</v>
      </c>
      <c r="N84" s="12">
        <v>0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</row>
    <row r="85" spans="2:70" s="1" customFormat="1" ht="21" x14ac:dyDescent="0.35">
      <c r="B85" s="4"/>
      <c r="C85" s="2"/>
      <c r="D85" s="2"/>
      <c r="E85" s="2"/>
      <c r="F85" s="2"/>
      <c r="G85" s="5" t="b">
        <f>IF(E85=M,IF(I85&lt;=MBP,MB,IF(I85&lt;=MIP,MI,MA)),IF(E85=W,IF(I85&lt;=WBP,WB,IF(I85&lt;=WIP,WI,WA))))</f>
        <v>0</v>
      </c>
      <c r="H85" s="9">
        <f>RANK(I85,$I$4:$I$96,0)</f>
        <v>63</v>
      </c>
      <c r="I85" s="23">
        <f>CEILING(SUM(LARGE(J85:BI85,{1,2,3,4,5})),1)</f>
        <v>0</v>
      </c>
      <c r="J85" s="26">
        <v>0</v>
      </c>
      <c r="K85" s="24">
        <v>0</v>
      </c>
      <c r="L85" s="3">
        <v>0</v>
      </c>
      <c r="M85" s="3">
        <v>0</v>
      </c>
      <c r="N85" s="12">
        <v>0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</row>
    <row r="86" spans="2:70" s="1" customFormat="1" ht="21" x14ac:dyDescent="0.35">
      <c r="B86" s="4"/>
      <c r="C86" s="2"/>
      <c r="D86" s="2"/>
      <c r="E86" s="2"/>
      <c r="F86" s="2"/>
      <c r="G86" s="5" t="b">
        <f>IF(E86=M,IF(I86&lt;=MBP,MB,IF(I86&lt;=MIP,MI,MA)),IF(E86=W,IF(I86&lt;=WBP,WB,IF(I86&lt;=WIP,WI,WA))))</f>
        <v>0</v>
      </c>
      <c r="H86" s="9">
        <f>RANK(I86,$I$4:$I$96,0)</f>
        <v>63</v>
      </c>
      <c r="I86" s="23">
        <f>CEILING(SUM(LARGE(J86:BI86,{1,2,3,4,5})),1)</f>
        <v>0</v>
      </c>
      <c r="J86" s="26">
        <v>0</v>
      </c>
      <c r="K86" s="24">
        <v>0</v>
      </c>
      <c r="L86" s="3">
        <v>0</v>
      </c>
      <c r="M86" s="3">
        <v>0</v>
      </c>
      <c r="N86" s="12">
        <v>0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</row>
    <row r="87" spans="2:70" s="1" customFormat="1" ht="21" x14ac:dyDescent="0.35">
      <c r="B87" s="4"/>
      <c r="C87" s="2"/>
      <c r="D87" s="2"/>
      <c r="E87" s="2"/>
      <c r="F87" s="2"/>
      <c r="G87" s="5" t="b">
        <f>IF(E87=M,IF(I87&lt;=MBP,MB,IF(I87&lt;=MIP,MI,MA)),IF(E87=W,IF(I87&lt;=WBP,WB,IF(I87&lt;=WIP,WI,WA))))</f>
        <v>0</v>
      </c>
      <c r="H87" s="9">
        <f>RANK(I87,$I$4:$I$96,0)</f>
        <v>63</v>
      </c>
      <c r="I87" s="23">
        <f>CEILING(SUM(LARGE(J87:BI87,{1,2,3,4,5})),1)</f>
        <v>0</v>
      </c>
      <c r="J87" s="26">
        <v>0</v>
      </c>
      <c r="K87" s="24">
        <v>0</v>
      </c>
      <c r="L87" s="3">
        <v>0</v>
      </c>
      <c r="M87" s="3">
        <v>0</v>
      </c>
      <c r="N87" s="12">
        <v>0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</row>
    <row r="88" spans="2:70" s="1" customFormat="1" ht="21" x14ac:dyDescent="0.35">
      <c r="B88" s="4"/>
      <c r="C88" s="2"/>
      <c r="D88" s="2"/>
      <c r="E88" s="2"/>
      <c r="F88" s="2"/>
      <c r="G88" s="5" t="b">
        <f>IF(E88=M,IF(I88&lt;=MBP,MB,IF(I88&lt;=MIP,MI,MA)),IF(E88=W,IF(I88&lt;=WBP,WB,IF(I88&lt;=WIP,WI,WA))))</f>
        <v>0</v>
      </c>
      <c r="H88" s="9">
        <f>RANK(I88,$I$4:$I$96,0)</f>
        <v>63</v>
      </c>
      <c r="I88" s="23">
        <f>CEILING(SUM(LARGE(J88:BI88,{1,2,3,4,5})),1)</f>
        <v>0</v>
      </c>
      <c r="J88" s="26">
        <v>0</v>
      </c>
      <c r="K88" s="24">
        <v>0</v>
      </c>
      <c r="L88" s="3">
        <v>0</v>
      </c>
      <c r="M88" s="3">
        <v>0</v>
      </c>
      <c r="N88" s="12">
        <v>0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</row>
    <row r="89" spans="2:70" s="1" customFormat="1" ht="21" x14ac:dyDescent="0.35">
      <c r="B89" s="4"/>
      <c r="C89" s="2"/>
      <c r="D89" s="2"/>
      <c r="E89" s="2"/>
      <c r="F89" s="2"/>
      <c r="G89" s="5" t="b">
        <f>IF(E89=M,IF(I89&lt;=MBP,MB,IF(I89&lt;=MIP,MI,MA)),IF(E89=W,IF(I89&lt;=WBP,WB,IF(I89&lt;=WIP,WI,WA))))</f>
        <v>0</v>
      </c>
      <c r="H89" s="9">
        <f>RANK(I89,$I$4:$I$96,0)</f>
        <v>63</v>
      </c>
      <c r="I89" s="23">
        <f>CEILING(SUM(LARGE(J89:BI89,{1,2,3,4,5})),1)</f>
        <v>0</v>
      </c>
      <c r="J89" s="26">
        <v>0</v>
      </c>
      <c r="K89" s="24">
        <v>0</v>
      </c>
      <c r="L89" s="25">
        <v>0</v>
      </c>
      <c r="M89" s="3">
        <v>0</v>
      </c>
      <c r="N89" s="12">
        <v>0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</row>
    <row r="90" spans="2:70" s="1" customFormat="1" ht="21" x14ac:dyDescent="0.35">
      <c r="B90" s="4"/>
      <c r="C90" s="2"/>
      <c r="D90" s="2"/>
      <c r="E90" s="2"/>
      <c r="F90" s="2"/>
      <c r="G90" s="5" t="b">
        <f>IF(E90=M,IF(I90&lt;=MBP,MB,IF(I90&lt;=MIP,MI,MA)),IF(E90=W,IF(I90&lt;=WBP,WB,IF(I90&lt;=WIP,WI,WA))))</f>
        <v>0</v>
      </c>
      <c r="H90" s="9">
        <f>RANK(I90,$I$4:$I$96,0)</f>
        <v>63</v>
      </c>
      <c r="I90" s="28">
        <f>CEILING(SUM(LARGE(J90:BI90,{1,2,3,4,5})),1)</f>
        <v>0</v>
      </c>
      <c r="J90" s="26">
        <v>0</v>
      </c>
      <c r="K90" s="29">
        <v>0</v>
      </c>
      <c r="L90" s="3">
        <v>0</v>
      </c>
      <c r="M90" s="24">
        <v>0</v>
      </c>
      <c r="N90" s="12">
        <v>0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</row>
    <row r="91" spans="2:70" s="1" customFormat="1" ht="21" x14ac:dyDescent="0.35">
      <c r="B91" s="4"/>
      <c r="C91" s="2"/>
      <c r="D91" s="2"/>
      <c r="E91" s="2"/>
      <c r="F91" s="2"/>
      <c r="G91" s="5" t="b">
        <f>IF(E91=M,IF(I91&lt;=MBP,MB,IF(I91&lt;=MIP,MI,MA)),IF(E91=W,IF(I91&lt;=WBP,WB,IF(I91&lt;=WIP,WI,WA))))</f>
        <v>0</v>
      </c>
      <c r="H91" s="9">
        <f>RANK(I91,$I$4:$I$96,0)</f>
        <v>63</v>
      </c>
      <c r="I91" s="23">
        <f>CEILING(SUM(LARGE(J91:BI91,{1,2,3,4,5})),1)</f>
        <v>0</v>
      </c>
      <c r="J91" s="26">
        <v>0</v>
      </c>
      <c r="K91" s="24">
        <v>0</v>
      </c>
      <c r="L91" s="30">
        <v>0</v>
      </c>
      <c r="M91" s="3">
        <v>0</v>
      </c>
      <c r="N91" s="12">
        <v>0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</row>
    <row r="92" spans="2:70" s="1" customFormat="1" ht="21" x14ac:dyDescent="0.35">
      <c r="B92" s="4"/>
      <c r="C92" s="2"/>
      <c r="D92" s="2"/>
      <c r="E92" s="2"/>
      <c r="F92" s="2"/>
      <c r="G92" s="5" t="b">
        <f>IF(E92=M,IF(I92&lt;=MBP,MB,IF(I92&lt;=MIP,MI,MA)),IF(E92=W,IF(I92&lt;=WBP,WB,IF(I92&lt;=WIP,WI,WA))))</f>
        <v>0</v>
      </c>
      <c r="H92" s="9">
        <f>RANK(I92,$I$4:$I$96,0)</f>
        <v>63</v>
      </c>
      <c r="I92" s="23">
        <f>CEILING(SUM(LARGE(J92:BI92,{1,2,3,4,5})),1)</f>
        <v>0</v>
      </c>
      <c r="J92" s="26">
        <v>0</v>
      </c>
      <c r="K92" s="24">
        <v>0</v>
      </c>
      <c r="L92" s="3">
        <v>0</v>
      </c>
      <c r="M92" s="3">
        <v>0</v>
      </c>
      <c r="N92" s="12">
        <v>0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</row>
    <row r="93" spans="2:70" s="1" customFormat="1" ht="21" x14ac:dyDescent="0.35">
      <c r="B93" s="4"/>
      <c r="C93" s="2"/>
      <c r="D93" s="2"/>
      <c r="E93" s="2"/>
      <c r="F93" s="2"/>
      <c r="G93" s="5" t="b">
        <f>IF(E93=M,IF(I93&lt;=MBP,MB,IF(I93&lt;=MIP,MI,MA)),IF(E93=W,IF(I93&lt;=WBP,WB,IF(I93&lt;=WIP,WI,WA))))</f>
        <v>0</v>
      </c>
      <c r="H93" s="9">
        <f>RANK(I93,$I$4:$I$96,0)</f>
        <v>63</v>
      </c>
      <c r="I93" s="23">
        <f>CEILING(SUM(LARGE(J93:BI93,{1,2,3,4,5})),1)</f>
        <v>0</v>
      </c>
      <c r="J93" s="26">
        <v>0</v>
      </c>
      <c r="K93" s="24">
        <v>0</v>
      </c>
      <c r="L93" s="3">
        <v>0</v>
      </c>
      <c r="M93" s="3">
        <v>0</v>
      </c>
      <c r="N93" s="12">
        <v>0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</row>
    <row r="94" spans="2:70" s="1" customFormat="1" ht="21" x14ac:dyDescent="0.35">
      <c r="B94" s="4"/>
      <c r="C94" s="2"/>
      <c r="D94" s="2"/>
      <c r="E94" s="2"/>
      <c r="F94" s="2"/>
      <c r="G94" s="5" t="b">
        <f>IF(E94=M,IF(I94&lt;=MBP,MB,IF(I94&lt;=MIP,MI,MA)),IF(E94=W,IF(I94&lt;=WBP,WB,IF(I94&lt;=WIP,WI,WA))))</f>
        <v>0</v>
      </c>
      <c r="H94" s="9">
        <f>RANK(I94,$I$4:$I$96,0)</f>
        <v>63</v>
      </c>
      <c r="I94" s="23">
        <f>CEILING(SUM(LARGE(J94:BI94,{1,2,3,4,5})),1)</f>
        <v>0</v>
      </c>
      <c r="J94" s="26">
        <v>0</v>
      </c>
      <c r="K94" s="24">
        <v>0</v>
      </c>
      <c r="L94" s="3">
        <v>0</v>
      </c>
      <c r="M94" s="3">
        <v>0</v>
      </c>
      <c r="N94" s="12">
        <v>0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</row>
    <row r="95" spans="2:70" s="1" customFormat="1" ht="21" x14ac:dyDescent="0.35">
      <c r="B95" s="4"/>
      <c r="C95" s="2"/>
      <c r="D95" s="2"/>
      <c r="E95" s="2"/>
      <c r="F95" s="2"/>
      <c r="G95" s="5" t="b">
        <f>IF(E95=M,IF(I95&lt;=MBP,MB,IF(I95&lt;=MIP,MI,MA)),IF(E95=W,IF(I95&lt;=WBP,WB,IF(I95&lt;=WIP,WI,WA))))</f>
        <v>0</v>
      </c>
      <c r="H95" s="9">
        <f>RANK(I95,$I$4:$I$96,0)</f>
        <v>63</v>
      </c>
      <c r="I95" s="23">
        <f>CEILING(SUM(LARGE(J95:BI95,{1,2,3,4,5})),1)</f>
        <v>0</v>
      </c>
      <c r="J95" s="26">
        <v>0</v>
      </c>
      <c r="K95" s="24">
        <v>0</v>
      </c>
      <c r="L95" s="3">
        <v>0</v>
      </c>
      <c r="M95" s="3">
        <v>0</v>
      </c>
      <c r="N95" s="12">
        <v>0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</row>
    <row r="96" spans="2:70" s="1" customFormat="1" ht="21" x14ac:dyDescent="0.35">
      <c r="B96" s="4"/>
      <c r="C96" s="2"/>
      <c r="D96" s="2"/>
      <c r="E96" s="2"/>
      <c r="F96" s="2"/>
      <c r="G96" s="5" t="b">
        <f>IF(E96=M,IF(I96&lt;=MBP,MB,IF(I96&lt;=MIP,MI,MA)),IF(E96=W,IF(I96&lt;=WBP,WB,IF(I96&lt;=WIP,WI,WA))))</f>
        <v>0</v>
      </c>
      <c r="H96" s="9">
        <f>RANK(I96,$I$4:$I$96,0)</f>
        <v>63</v>
      </c>
      <c r="I96" s="23">
        <f>CEILING(SUM(LARGE(J96:BI96,{1,2,3,4,5})),1)</f>
        <v>0</v>
      </c>
      <c r="J96" s="26">
        <v>0</v>
      </c>
      <c r="K96" s="24">
        <v>0</v>
      </c>
      <c r="L96" s="3">
        <v>0</v>
      </c>
      <c r="M96" s="3">
        <v>0</v>
      </c>
      <c r="N96" s="12">
        <v>0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</row>
  </sheetData>
  <autoFilter ref="F3:F96">
    <sortState ref="B4:N96">
      <sortCondition ref="F3:F96"/>
    </sortState>
  </autoFilter>
  <mergeCells count="2">
    <mergeCell ref="J3:N3"/>
    <mergeCell ref="B2:N2"/>
  </mergeCells>
  <pageMargins left="0.7" right="0.7" top="0.75" bottom="0.75" header="0.3" footer="0.3"/>
  <pageSetup orientation="portrait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B2:Q28"/>
  <sheetViews>
    <sheetView workbookViewId="0">
      <selection activeCell="M5" sqref="M5"/>
    </sheetView>
  </sheetViews>
  <sheetFormatPr defaultColWidth="8.85546875" defaultRowHeight="15" x14ac:dyDescent="0.25"/>
  <cols>
    <col min="1" max="1" width="8.85546875" style="7"/>
    <col min="2" max="2" width="11.7109375" style="7" customWidth="1"/>
    <col min="3" max="3" width="12" style="7" customWidth="1"/>
    <col min="4" max="4" width="7.28515625" style="7" customWidth="1"/>
    <col min="5" max="5" width="11.42578125" style="7" customWidth="1"/>
    <col min="6" max="6" width="11.85546875" style="7" customWidth="1"/>
    <col min="7" max="7" width="6.42578125" style="7" customWidth="1"/>
    <col min="8" max="9" width="11.28515625" style="7" bestFit="1" customWidth="1"/>
    <col min="10" max="10" width="6.42578125" style="7" customWidth="1"/>
    <col min="11" max="11" width="8.85546875" style="7"/>
    <col min="12" max="12" width="12.7109375" style="7" customWidth="1"/>
    <col min="13" max="13" width="11" style="7" customWidth="1"/>
    <col min="14" max="15" width="8.85546875" style="7"/>
    <col min="16" max="16" width="35" style="7" customWidth="1"/>
    <col min="17" max="16384" width="8.85546875" style="7"/>
  </cols>
  <sheetData>
    <row r="2" spans="2:17" x14ac:dyDescent="0.25">
      <c r="B2" s="32" t="s">
        <v>56</v>
      </c>
      <c r="C2" s="32" t="s">
        <v>57</v>
      </c>
      <c r="D2" s="32" t="s">
        <v>58</v>
      </c>
      <c r="E2" s="32" t="s">
        <v>56</v>
      </c>
      <c r="F2" s="32" t="s">
        <v>57</v>
      </c>
      <c r="G2" s="32" t="s">
        <v>58</v>
      </c>
      <c r="H2" s="48" t="s">
        <v>56</v>
      </c>
      <c r="I2" s="48" t="s">
        <v>57</v>
      </c>
      <c r="J2" s="48" t="s">
        <v>58</v>
      </c>
      <c r="L2" s="33" t="s">
        <v>59</v>
      </c>
      <c r="M2" s="20">
        <v>1.1000000000000001</v>
      </c>
      <c r="N2" s="35">
        <f>F-1</f>
        <v>0.10000000000000009</v>
      </c>
      <c r="P2" s="36" t="s">
        <v>60</v>
      </c>
      <c r="Q2" s="36" t="s">
        <v>61</v>
      </c>
    </row>
    <row r="3" spans="2:17" x14ac:dyDescent="0.25">
      <c r="B3" s="37" t="s">
        <v>0</v>
      </c>
      <c r="C3" s="18">
        <v>200</v>
      </c>
      <c r="D3" s="18"/>
      <c r="E3" s="37" t="s">
        <v>26</v>
      </c>
      <c r="F3" s="19">
        <v>760</v>
      </c>
      <c r="G3" s="18"/>
      <c r="H3" s="37" t="s">
        <v>98</v>
      </c>
      <c r="I3" s="19"/>
      <c r="J3" s="18"/>
      <c r="P3" s="21" t="s">
        <v>125</v>
      </c>
      <c r="Q3" s="21" t="s">
        <v>127</v>
      </c>
    </row>
    <row r="4" spans="2:17" x14ac:dyDescent="0.25">
      <c r="B4" s="37" t="s">
        <v>1</v>
      </c>
      <c r="C4" s="18">
        <v>600</v>
      </c>
      <c r="D4" s="18"/>
      <c r="E4" s="37" t="s">
        <v>27</v>
      </c>
      <c r="F4" s="19">
        <v>370</v>
      </c>
      <c r="G4" s="18"/>
      <c r="H4" s="37" t="s">
        <v>99</v>
      </c>
      <c r="I4" s="19"/>
      <c r="J4" s="18"/>
      <c r="L4" s="32" t="s">
        <v>63</v>
      </c>
      <c r="M4" s="36" t="s">
        <v>70</v>
      </c>
      <c r="P4" s="21" t="s">
        <v>124</v>
      </c>
      <c r="Q4" s="21" t="s">
        <v>128</v>
      </c>
    </row>
    <row r="5" spans="2:17" x14ac:dyDescent="0.25">
      <c r="B5" s="37" t="s">
        <v>2</v>
      </c>
      <c r="C5" s="19">
        <v>150</v>
      </c>
      <c r="D5" s="18"/>
      <c r="E5" s="37" t="s">
        <v>28</v>
      </c>
      <c r="F5" s="19">
        <v>520</v>
      </c>
      <c r="G5" s="18"/>
      <c r="H5" s="37" t="s">
        <v>100</v>
      </c>
      <c r="I5" s="19"/>
      <c r="J5" s="18"/>
      <c r="L5" s="34" t="s">
        <v>64</v>
      </c>
      <c r="M5" s="20"/>
      <c r="N5" s="1" t="s">
        <v>83</v>
      </c>
      <c r="P5" s="21" t="s">
        <v>126</v>
      </c>
      <c r="Q5" s="21" t="s">
        <v>129</v>
      </c>
    </row>
    <row r="6" spans="2:17" x14ac:dyDescent="0.25">
      <c r="B6" s="37" t="s">
        <v>3</v>
      </c>
      <c r="C6" s="18">
        <v>440</v>
      </c>
      <c r="D6" s="18"/>
      <c r="E6" s="37" t="s">
        <v>29</v>
      </c>
      <c r="F6" s="19">
        <v>470</v>
      </c>
      <c r="G6" s="18"/>
      <c r="H6" s="37" t="s">
        <v>101</v>
      </c>
      <c r="I6" s="19"/>
      <c r="J6" s="18"/>
      <c r="L6" s="34" t="s">
        <v>65</v>
      </c>
      <c r="M6" s="49">
        <v>2480</v>
      </c>
      <c r="N6" s="1" t="s">
        <v>82</v>
      </c>
      <c r="P6" s="21" t="s">
        <v>130</v>
      </c>
      <c r="Q6" s="21" t="s">
        <v>22</v>
      </c>
    </row>
    <row r="7" spans="2:17" x14ac:dyDescent="0.25">
      <c r="B7" s="37" t="s">
        <v>4</v>
      </c>
      <c r="C7" s="18">
        <v>690</v>
      </c>
      <c r="D7" s="18"/>
      <c r="E7" s="37" t="s">
        <v>30</v>
      </c>
      <c r="F7" s="19">
        <v>530</v>
      </c>
      <c r="G7" s="18"/>
      <c r="H7" s="37" t="s">
        <v>102</v>
      </c>
      <c r="I7" s="19"/>
      <c r="J7" s="18"/>
      <c r="L7" s="34" t="s">
        <v>66</v>
      </c>
      <c r="M7" s="20">
        <v>1600</v>
      </c>
      <c r="N7" s="1" t="s">
        <v>81</v>
      </c>
      <c r="P7" s="21"/>
      <c r="Q7" s="21"/>
    </row>
    <row r="8" spans="2:17" x14ac:dyDescent="0.25">
      <c r="B8" s="37" t="s">
        <v>5</v>
      </c>
      <c r="C8" s="18">
        <v>550</v>
      </c>
      <c r="D8" s="18"/>
      <c r="E8" s="37" t="s">
        <v>31</v>
      </c>
      <c r="F8" s="19">
        <v>450</v>
      </c>
      <c r="G8" s="18"/>
      <c r="H8" s="37" t="s">
        <v>103</v>
      </c>
      <c r="I8" s="19"/>
      <c r="J8" s="18"/>
      <c r="L8" s="34" t="s">
        <v>67</v>
      </c>
      <c r="M8" s="20"/>
      <c r="N8" s="1" t="s">
        <v>87</v>
      </c>
      <c r="P8" s="21"/>
      <c r="Q8" s="21"/>
    </row>
    <row r="9" spans="2:17" x14ac:dyDescent="0.25">
      <c r="B9" s="37" t="s">
        <v>6</v>
      </c>
      <c r="C9" s="18">
        <v>840</v>
      </c>
      <c r="D9" s="18"/>
      <c r="E9" s="37" t="s">
        <v>32</v>
      </c>
      <c r="F9" s="19"/>
      <c r="G9" s="18"/>
      <c r="H9" s="37" t="s">
        <v>104</v>
      </c>
      <c r="I9" s="19"/>
      <c r="J9" s="18"/>
      <c r="L9" s="34" t="s">
        <v>68</v>
      </c>
      <c r="M9" s="20">
        <v>2065</v>
      </c>
      <c r="N9" s="1" t="s">
        <v>86</v>
      </c>
      <c r="P9" s="22"/>
      <c r="Q9" s="21"/>
    </row>
    <row r="10" spans="2:17" x14ac:dyDescent="0.25">
      <c r="B10" s="37" t="s">
        <v>7</v>
      </c>
      <c r="C10" s="18">
        <v>650</v>
      </c>
      <c r="D10" s="18"/>
      <c r="E10" s="37" t="s">
        <v>33</v>
      </c>
      <c r="F10" s="19"/>
      <c r="G10" s="18"/>
      <c r="H10" s="37" t="s">
        <v>105</v>
      </c>
      <c r="I10" s="19"/>
      <c r="J10" s="18"/>
      <c r="L10" s="34" t="s">
        <v>69</v>
      </c>
      <c r="M10" s="50">
        <v>1300</v>
      </c>
      <c r="N10" s="1" t="s">
        <v>85</v>
      </c>
      <c r="P10" s="21"/>
      <c r="Q10" s="21"/>
    </row>
    <row r="11" spans="2:17" x14ac:dyDescent="0.25">
      <c r="B11" s="37" t="s">
        <v>8</v>
      </c>
      <c r="C11" s="18">
        <v>590</v>
      </c>
      <c r="D11" s="18"/>
      <c r="E11" s="37" t="s">
        <v>34</v>
      </c>
      <c r="F11" s="19"/>
      <c r="G11" s="18"/>
      <c r="H11" s="37" t="s">
        <v>106</v>
      </c>
      <c r="I11" s="19"/>
      <c r="J11" s="18"/>
      <c r="P11" s="21"/>
      <c r="Q11" s="21"/>
    </row>
    <row r="12" spans="2:17" x14ac:dyDescent="0.25">
      <c r="B12" s="37" t="s">
        <v>9</v>
      </c>
      <c r="C12" s="18">
        <v>385</v>
      </c>
      <c r="D12" s="18"/>
      <c r="E12" s="37" t="s">
        <v>35</v>
      </c>
      <c r="F12" s="19"/>
      <c r="G12" s="18"/>
      <c r="H12" s="37" t="s">
        <v>107</v>
      </c>
      <c r="I12" s="19"/>
      <c r="J12" s="18"/>
      <c r="L12" s="60" t="s">
        <v>71</v>
      </c>
      <c r="M12" s="60"/>
      <c r="P12" s="21"/>
      <c r="Q12" s="21"/>
    </row>
    <row r="13" spans="2:17" x14ac:dyDescent="0.25">
      <c r="B13" s="37" t="s">
        <v>10</v>
      </c>
      <c r="C13" s="18">
        <v>340</v>
      </c>
      <c r="D13" s="18"/>
      <c r="E13" s="37" t="s">
        <v>36</v>
      </c>
      <c r="F13" s="19"/>
      <c r="G13" s="18"/>
      <c r="H13" s="37" t="s">
        <v>108</v>
      </c>
      <c r="I13" s="19"/>
      <c r="J13" s="18"/>
      <c r="L13" s="33" t="s">
        <v>72</v>
      </c>
      <c r="M13" s="34" t="s">
        <v>12</v>
      </c>
      <c r="P13" s="21"/>
      <c r="Q13" s="21"/>
    </row>
    <row r="14" spans="2:17" x14ac:dyDescent="0.25">
      <c r="B14" s="37" t="s">
        <v>11</v>
      </c>
      <c r="C14" s="18">
        <v>260</v>
      </c>
      <c r="D14" s="18"/>
      <c r="E14" s="37" t="s">
        <v>37</v>
      </c>
      <c r="F14" s="19"/>
      <c r="G14" s="18"/>
      <c r="H14" s="37" t="s">
        <v>109</v>
      </c>
      <c r="I14" s="19"/>
      <c r="J14" s="18"/>
      <c r="L14" s="33" t="s">
        <v>73</v>
      </c>
      <c r="M14" s="34" t="s">
        <v>22</v>
      </c>
      <c r="P14" s="21"/>
      <c r="Q14" s="21"/>
    </row>
    <row r="15" spans="2:17" x14ac:dyDescent="0.25">
      <c r="B15" s="37" t="s">
        <v>12</v>
      </c>
      <c r="C15" s="18">
        <v>90</v>
      </c>
      <c r="D15" s="18"/>
      <c r="E15" s="37" t="s">
        <v>38</v>
      </c>
      <c r="F15" s="18"/>
      <c r="G15" s="18"/>
      <c r="H15" s="37" t="s">
        <v>110</v>
      </c>
      <c r="I15" s="18"/>
      <c r="J15" s="18"/>
      <c r="P15" s="21"/>
      <c r="Q15" s="21"/>
    </row>
    <row r="16" spans="2:17" x14ac:dyDescent="0.25">
      <c r="B16" s="37" t="s">
        <v>13</v>
      </c>
      <c r="C16" s="18">
        <v>400</v>
      </c>
      <c r="D16" s="18"/>
      <c r="E16" s="37" t="s">
        <v>39</v>
      </c>
      <c r="F16" s="18"/>
      <c r="G16" s="18"/>
      <c r="H16" s="37" t="s">
        <v>111</v>
      </c>
      <c r="I16" s="18"/>
      <c r="J16" s="18"/>
      <c r="L16" s="38"/>
      <c r="M16" s="38"/>
    </row>
    <row r="17" spans="2:13" x14ac:dyDescent="0.25">
      <c r="B17" s="37" t="s">
        <v>14</v>
      </c>
      <c r="C17" s="18">
        <v>300</v>
      </c>
      <c r="D17" s="18"/>
      <c r="E17" s="37" t="s">
        <v>40</v>
      </c>
      <c r="F17" s="18"/>
      <c r="G17" s="18"/>
      <c r="H17" s="37" t="s">
        <v>112</v>
      </c>
      <c r="I17" s="18"/>
      <c r="J17" s="18"/>
      <c r="M17" s="39"/>
    </row>
    <row r="18" spans="2:13" x14ac:dyDescent="0.25">
      <c r="B18" s="37" t="s">
        <v>15</v>
      </c>
      <c r="C18" s="18">
        <v>230</v>
      </c>
      <c r="D18" s="18"/>
      <c r="E18" s="37" t="s">
        <v>41</v>
      </c>
      <c r="F18" s="18"/>
      <c r="G18" s="18"/>
      <c r="H18" s="37" t="s">
        <v>113</v>
      </c>
      <c r="I18" s="18"/>
      <c r="J18" s="18"/>
      <c r="L18" s="39"/>
      <c r="M18" s="39"/>
    </row>
    <row r="19" spans="2:13" x14ac:dyDescent="0.25">
      <c r="B19" s="37" t="s">
        <v>16</v>
      </c>
      <c r="C19" s="18">
        <v>300</v>
      </c>
      <c r="D19" s="18"/>
      <c r="E19" s="37" t="s">
        <v>42</v>
      </c>
      <c r="F19" s="18"/>
      <c r="G19" s="18"/>
      <c r="H19" s="37" t="s">
        <v>114</v>
      </c>
      <c r="I19" s="18"/>
      <c r="J19" s="18"/>
    </row>
    <row r="20" spans="2:13" x14ac:dyDescent="0.25">
      <c r="B20" s="37" t="s">
        <v>17</v>
      </c>
      <c r="C20" s="19">
        <v>60</v>
      </c>
      <c r="D20" s="18"/>
      <c r="E20" s="37" t="s">
        <v>43</v>
      </c>
      <c r="F20" s="18"/>
      <c r="G20" s="18"/>
      <c r="H20" s="37" t="s">
        <v>115</v>
      </c>
      <c r="I20" s="18"/>
      <c r="J20" s="18"/>
    </row>
    <row r="21" spans="2:13" x14ac:dyDescent="0.25">
      <c r="B21" s="37" t="s">
        <v>18</v>
      </c>
      <c r="C21" s="18">
        <v>350</v>
      </c>
      <c r="D21" s="18"/>
      <c r="E21" s="37" t="s">
        <v>44</v>
      </c>
      <c r="F21" s="18"/>
      <c r="G21" s="18"/>
      <c r="H21" s="37" t="s">
        <v>116</v>
      </c>
      <c r="I21" s="18"/>
      <c r="J21" s="18"/>
    </row>
    <row r="22" spans="2:13" x14ac:dyDescent="0.25">
      <c r="B22" s="37" t="s">
        <v>19</v>
      </c>
      <c r="C22" s="18">
        <v>140</v>
      </c>
      <c r="D22" s="18"/>
      <c r="E22" s="37" t="s">
        <v>45</v>
      </c>
      <c r="F22" s="18"/>
      <c r="G22" s="18"/>
      <c r="H22" s="37" t="s">
        <v>117</v>
      </c>
      <c r="I22" s="18"/>
      <c r="J22" s="18"/>
    </row>
    <row r="23" spans="2:13" x14ac:dyDescent="0.25">
      <c r="B23" s="37" t="s">
        <v>20</v>
      </c>
      <c r="C23" s="18">
        <v>480</v>
      </c>
      <c r="D23" s="18"/>
      <c r="E23" s="37" t="s">
        <v>46</v>
      </c>
      <c r="F23" s="18"/>
      <c r="G23" s="18"/>
      <c r="H23" s="37" t="s">
        <v>118</v>
      </c>
      <c r="I23" s="18"/>
      <c r="J23" s="18"/>
    </row>
    <row r="24" spans="2:13" x14ac:dyDescent="0.25">
      <c r="B24" s="37" t="s">
        <v>21</v>
      </c>
      <c r="C24" s="18">
        <v>245</v>
      </c>
      <c r="D24" s="18"/>
      <c r="E24" s="37" t="s">
        <v>47</v>
      </c>
      <c r="F24" s="18"/>
      <c r="G24" s="18"/>
      <c r="H24" s="37" t="s">
        <v>119</v>
      </c>
      <c r="I24" s="18"/>
      <c r="J24" s="18"/>
    </row>
    <row r="25" spans="2:13" x14ac:dyDescent="0.25">
      <c r="B25" s="37" t="s">
        <v>22</v>
      </c>
      <c r="C25" s="18">
        <v>170</v>
      </c>
      <c r="D25" s="18"/>
      <c r="E25" s="37" t="s">
        <v>48</v>
      </c>
      <c r="F25" s="18"/>
      <c r="G25" s="18"/>
      <c r="H25" s="37" t="s">
        <v>120</v>
      </c>
      <c r="I25" s="18"/>
      <c r="J25" s="18"/>
    </row>
    <row r="26" spans="2:13" x14ac:dyDescent="0.25">
      <c r="B26" s="37" t="s">
        <v>23</v>
      </c>
      <c r="C26" s="18">
        <v>390</v>
      </c>
      <c r="D26" s="18"/>
      <c r="E26" s="37" t="s">
        <v>49</v>
      </c>
      <c r="F26" s="18"/>
      <c r="G26" s="18"/>
      <c r="H26" s="37" t="s">
        <v>121</v>
      </c>
      <c r="I26" s="18"/>
      <c r="J26" s="18"/>
    </row>
    <row r="27" spans="2:13" x14ac:dyDescent="0.25">
      <c r="B27" s="37" t="s">
        <v>24</v>
      </c>
      <c r="C27" s="18">
        <v>190</v>
      </c>
      <c r="D27" s="18"/>
      <c r="E27" s="37" t="s">
        <v>50</v>
      </c>
      <c r="F27" s="18"/>
      <c r="G27" s="18"/>
      <c r="H27" s="37" t="s">
        <v>122</v>
      </c>
      <c r="I27" s="18"/>
      <c r="J27" s="18"/>
    </row>
    <row r="28" spans="2:13" x14ac:dyDescent="0.25">
      <c r="B28" s="37" t="s">
        <v>25</v>
      </c>
      <c r="C28" s="18">
        <v>720</v>
      </c>
      <c r="D28" s="18"/>
      <c r="E28" s="37" t="s">
        <v>51</v>
      </c>
      <c r="F28" s="18"/>
      <c r="G28" s="18"/>
      <c r="H28" s="37" t="s">
        <v>123</v>
      </c>
      <c r="I28" s="18"/>
      <c r="J28" s="18"/>
    </row>
  </sheetData>
  <mergeCells count="1">
    <mergeCell ref="L12:M12"/>
  </mergeCells>
  <pageMargins left="0.7" right="0.7" top="0.75" bottom="0.75" header="0.3" footer="0.3"/>
  <pageSetup orientation="portrait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140"/>
  <sheetViews>
    <sheetView tabSelected="1" topLeftCell="A6" zoomScale="80" zoomScaleNormal="80" zoomScalePageLayoutView="80" workbookViewId="0">
      <selection activeCell="H17" sqref="H17"/>
    </sheetView>
  </sheetViews>
  <sheetFormatPr defaultColWidth="8.85546875" defaultRowHeight="21" x14ac:dyDescent="0.35"/>
  <cols>
    <col min="1" max="1" width="8.85546875" style="14"/>
    <col min="2" max="2" width="23.5703125" style="14" customWidth="1"/>
    <col min="3" max="3" width="18" style="14" customWidth="1"/>
    <col min="4" max="4" width="22.42578125" style="14" customWidth="1"/>
    <col min="5" max="5" width="11.42578125" style="14" customWidth="1"/>
    <col min="6" max="6" width="32.42578125" style="14" bestFit="1" customWidth="1"/>
    <col min="7" max="7" width="16.140625" style="14" customWidth="1"/>
    <col min="8" max="8" width="20.28515625" style="14" bestFit="1" customWidth="1"/>
    <col min="9" max="9" width="10.7109375" style="14" bestFit="1" customWidth="1"/>
    <col min="10" max="12" width="8.85546875" style="14"/>
    <col min="13" max="13" width="11.7109375" style="14" bestFit="1" customWidth="1"/>
    <col min="14" max="14" width="11.42578125" style="14" bestFit="1" customWidth="1"/>
    <col min="15" max="16384" width="8.85546875" style="14"/>
  </cols>
  <sheetData>
    <row r="1" spans="1:14" x14ac:dyDescent="0.35">
      <c r="B1"/>
      <c r="C1"/>
    </row>
    <row r="2" spans="1:14" x14ac:dyDescent="0.35">
      <c r="A2" s="13"/>
      <c r="B2" s="8" t="s">
        <v>76</v>
      </c>
      <c r="C2" t="s">
        <v>80</v>
      </c>
      <c r="D2" s="13"/>
      <c r="E2" s="13"/>
      <c r="F2" s="13"/>
      <c r="G2" s="13"/>
      <c r="H2" s="13"/>
    </row>
    <row r="3" spans="1:14" x14ac:dyDescent="0.35">
      <c r="A3" s="13"/>
      <c r="B3" s="8" t="s">
        <v>78</v>
      </c>
      <c r="C3" t="s">
        <v>80</v>
      </c>
      <c r="D3" s="15"/>
      <c r="E3" s="16"/>
      <c r="F3" s="16"/>
      <c r="G3" s="16"/>
      <c r="H3" s="13"/>
    </row>
    <row r="4" spans="1:14" x14ac:dyDescent="0.35">
      <c r="A4" s="13"/>
      <c r="B4" s="8" t="s">
        <v>84</v>
      </c>
      <c r="C4" t="s">
        <v>80</v>
      </c>
      <c r="D4" s="17"/>
      <c r="E4" s="13"/>
      <c r="F4" s="13"/>
      <c r="G4" s="13"/>
      <c r="H4" s="13"/>
    </row>
    <row r="5" spans="1:14" x14ac:dyDescent="0.35">
      <c r="A5" s="13"/>
      <c r="B5" s="13"/>
      <c r="C5" s="13"/>
      <c r="D5" s="13"/>
      <c r="E5" s="13"/>
      <c r="F5" s="13"/>
      <c r="G5" s="13"/>
      <c r="H5" s="13"/>
    </row>
    <row r="6" spans="1:14" x14ac:dyDescent="0.35">
      <c r="A6" s="13"/>
      <c r="B6" s="8" t="s">
        <v>77</v>
      </c>
      <c r="C6" t="s">
        <v>79</v>
      </c>
      <c r="D6"/>
      <c r="E6"/>
      <c r="F6" s="13"/>
      <c r="G6" s="13"/>
      <c r="H6" s="13"/>
    </row>
    <row r="7" spans="1:14" x14ac:dyDescent="0.35">
      <c r="A7" s="13"/>
      <c r="B7" s="54" t="s">
        <v>65</v>
      </c>
      <c r="C7" s="55">
        <v>30538</v>
      </c>
      <c r="D7"/>
      <c r="E7"/>
      <c r="F7" s="13"/>
      <c r="G7" s="13"/>
      <c r="H7" s="13"/>
    </row>
    <row r="8" spans="1:14" x14ac:dyDescent="0.35">
      <c r="A8" s="13"/>
      <c r="B8" s="62" t="s">
        <v>174</v>
      </c>
      <c r="C8" s="55">
        <v>2415</v>
      </c>
      <c r="D8"/>
      <c r="E8"/>
      <c r="F8" s="13"/>
      <c r="G8" s="13"/>
      <c r="H8" s="61" t="s">
        <v>97</v>
      </c>
      <c r="I8" s="61"/>
      <c r="J8" s="61"/>
      <c r="K8" s="61"/>
      <c r="L8" s="61"/>
      <c r="M8" s="61"/>
      <c r="N8" s="61"/>
    </row>
    <row r="9" spans="1:14" x14ac:dyDescent="0.35">
      <c r="A9" s="13"/>
      <c r="B9" s="62" t="s">
        <v>160</v>
      </c>
      <c r="C9" s="55">
        <v>2274</v>
      </c>
      <c r="D9"/>
      <c r="E9"/>
      <c r="F9" s="13" t="s">
        <v>64</v>
      </c>
      <c r="G9" s="13"/>
      <c r="H9" s="52"/>
      <c r="I9" s="53" t="s">
        <v>88</v>
      </c>
      <c r="J9" s="53" t="s">
        <v>89</v>
      </c>
      <c r="K9" s="53" t="s">
        <v>92</v>
      </c>
      <c r="L9" s="53" t="s">
        <v>90</v>
      </c>
      <c r="M9" s="53" t="s">
        <v>93</v>
      </c>
      <c r="N9" s="53" t="s">
        <v>91</v>
      </c>
    </row>
    <row r="10" spans="1:14" x14ac:dyDescent="0.35">
      <c r="A10" s="13"/>
      <c r="B10" s="62" t="s">
        <v>195</v>
      </c>
      <c r="C10" s="55">
        <v>2188</v>
      </c>
      <c r="D10"/>
      <c r="E10"/>
      <c r="F10" s="13" t="s">
        <v>201</v>
      </c>
      <c r="G10" s="13"/>
      <c r="H10" s="52" t="s">
        <v>94</v>
      </c>
      <c r="I10" s="63">
        <f>SUM(D11+D14+D19+D20)</f>
        <v>0</v>
      </c>
      <c r="J10" s="63">
        <f>SUM(D15+D17+D9+D18+D21+D55)</f>
        <v>0</v>
      </c>
      <c r="K10" s="63">
        <f>SUM(D16)</f>
        <v>0</v>
      </c>
      <c r="L10" s="63">
        <f>SUM(D13)</f>
        <v>0</v>
      </c>
      <c r="M10" s="63">
        <v>0</v>
      </c>
      <c r="N10" s="63">
        <f>SUM(D10+D12+D56+D58)</f>
        <v>0</v>
      </c>
    </row>
    <row r="11" spans="1:14" x14ac:dyDescent="0.35">
      <c r="A11" s="13"/>
      <c r="B11" s="62" t="s">
        <v>176</v>
      </c>
      <c r="C11" s="55">
        <v>2187</v>
      </c>
      <c r="D11"/>
      <c r="E11"/>
      <c r="F11" s="13" t="s">
        <v>194</v>
      </c>
      <c r="G11" s="13"/>
      <c r="H11" s="52" t="s">
        <v>95</v>
      </c>
      <c r="I11" s="63">
        <f>SUM(D23+D24+D25+D26+D31+D34+D40+D44+D48+D50+D51)</f>
        <v>0</v>
      </c>
      <c r="J11" s="63">
        <f>SUM(D27+D45)</f>
        <v>0</v>
      </c>
      <c r="K11" s="63">
        <f>SUM(D28+D33+D39)</f>
        <v>0</v>
      </c>
      <c r="L11" s="63">
        <f>SUM(D35+D36+D46)</f>
        <v>0</v>
      </c>
      <c r="M11" s="63">
        <f>SUM(D29+D49)</f>
        <v>0</v>
      </c>
      <c r="N11" s="63">
        <f>SUM(D30+D32+D37+D38+D41+D43+D47+D52+D53)</f>
        <v>0</v>
      </c>
    </row>
    <row r="12" spans="1:14" x14ac:dyDescent="0.35">
      <c r="A12" s="13"/>
      <c r="B12" s="62" t="s">
        <v>178</v>
      </c>
      <c r="C12" s="55">
        <v>2181</v>
      </c>
      <c r="D12"/>
      <c r="E12"/>
      <c r="F12" s="13" t="s">
        <v>204</v>
      </c>
      <c r="G12" s="13"/>
      <c r="H12" s="52" t="s">
        <v>96</v>
      </c>
      <c r="I12" s="63">
        <f>SUM(D60+D63+D66+D67+D68+D69+D71+D76)</f>
        <v>0</v>
      </c>
      <c r="J12" s="63">
        <v>0</v>
      </c>
      <c r="K12" s="63">
        <f>SUM(D61+D70+D80)</f>
        <v>0</v>
      </c>
      <c r="L12" s="63">
        <f>SUM(D62)</f>
        <v>0</v>
      </c>
      <c r="M12" s="63">
        <v>0</v>
      </c>
      <c r="N12" s="63">
        <f>SUM(D64+D65+D72+D77+D78+D79)</f>
        <v>0</v>
      </c>
    </row>
    <row r="13" spans="1:14" x14ac:dyDescent="0.35">
      <c r="A13" s="13"/>
      <c r="B13" s="62" t="s">
        <v>166</v>
      </c>
      <c r="C13" s="55">
        <v>2090</v>
      </c>
      <c r="D13"/>
      <c r="E13" s="13"/>
      <c r="F13" s="13"/>
      <c r="G13" s="13"/>
      <c r="H13" s="13"/>
    </row>
    <row r="14" spans="1:14" x14ac:dyDescent="0.35">
      <c r="A14" s="13"/>
      <c r="B14" s="62" t="s">
        <v>180</v>
      </c>
      <c r="C14" s="55">
        <v>2090</v>
      </c>
      <c r="D14"/>
      <c r="E14" s="13"/>
      <c r="F14" s="13"/>
      <c r="G14" s="13"/>
      <c r="H14" s="13"/>
    </row>
    <row r="15" spans="1:14" x14ac:dyDescent="0.35">
      <c r="A15" s="13"/>
      <c r="B15" s="62" t="s">
        <v>202</v>
      </c>
      <c r="C15" s="55">
        <v>2050</v>
      </c>
      <c r="D15"/>
      <c r="E15" s="13"/>
      <c r="F15" s="13"/>
      <c r="G15" s="13"/>
      <c r="H15" s="13"/>
    </row>
    <row r="16" spans="1:14" x14ac:dyDescent="0.35">
      <c r="A16" s="13"/>
      <c r="B16" s="62" t="s">
        <v>187</v>
      </c>
      <c r="C16" s="55">
        <v>2011</v>
      </c>
      <c r="D16"/>
      <c r="E16" s="13"/>
      <c r="F16" s="13" t="s">
        <v>67</v>
      </c>
      <c r="G16" s="13"/>
      <c r="H16" s="13"/>
    </row>
    <row r="17" spans="1:8" x14ac:dyDescent="0.35">
      <c r="A17" s="13"/>
      <c r="B17" s="62" t="s">
        <v>134</v>
      </c>
      <c r="C17" s="55">
        <v>2001</v>
      </c>
      <c r="D17"/>
      <c r="E17" s="13"/>
      <c r="F17" s="13" t="s">
        <v>184</v>
      </c>
      <c r="G17" s="13"/>
      <c r="H17" s="13"/>
    </row>
    <row r="18" spans="1:8" x14ac:dyDescent="0.35">
      <c r="A18" s="13"/>
      <c r="B18" s="62" t="s">
        <v>155</v>
      </c>
      <c r="C18" s="55">
        <v>1905</v>
      </c>
      <c r="D18"/>
      <c r="E18" s="13"/>
      <c r="F18" s="13" t="s">
        <v>193</v>
      </c>
      <c r="G18" s="13"/>
      <c r="H18" s="13"/>
    </row>
    <row r="19" spans="1:8" x14ac:dyDescent="0.35">
      <c r="A19" s="13"/>
      <c r="B19" s="62" t="s">
        <v>173</v>
      </c>
      <c r="C19" s="55">
        <v>1870</v>
      </c>
      <c r="D19"/>
      <c r="E19" s="13"/>
      <c r="F19" s="13" t="s">
        <v>198</v>
      </c>
      <c r="G19" s="13"/>
      <c r="H19" s="13"/>
    </row>
    <row r="20" spans="1:8" x14ac:dyDescent="0.35">
      <c r="B20" s="62" t="s">
        <v>179</v>
      </c>
      <c r="C20" s="55">
        <v>1868</v>
      </c>
      <c r="D20"/>
    </row>
    <row r="21" spans="1:8" x14ac:dyDescent="0.35">
      <c r="B21" s="62" t="s">
        <v>164</v>
      </c>
      <c r="C21" s="55">
        <v>1726</v>
      </c>
      <c r="D21"/>
    </row>
    <row r="22" spans="1:8" x14ac:dyDescent="0.35">
      <c r="B22" s="62" t="s">
        <v>203</v>
      </c>
      <c r="C22" s="55">
        <v>1682</v>
      </c>
      <c r="D22"/>
      <c r="F22" s="14" t="s">
        <v>65</v>
      </c>
    </row>
    <row r="23" spans="1:8" x14ac:dyDescent="0.35">
      <c r="B23" s="54" t="s">
        <v>64</v>
      </c>
      <c r="C23" s="55">
        <v>29797</v>
      </c>
      <c r="D23"/>
      <c r="F23" s="14" t="s">
        <v>171</v>
      </c>
    </row>
    <row r="24" spans="1:8" x14ac:dyDescent="0.35">
      <c r="B24" s="62" t="s">
        <v>145</v>
      </c>
      <c r="C24" s="55">
        <v>3434</v>
      </c>
      <c r="D24"/>
      <c r="F24" s="14" t="s">
        <v>174</v>
      </c>
    </row>
    <row r="25" spans="1:8" x14ac:dyDescent="0.35">
      <c r="B25" s="62" t="s">
        <v>194</v>
      </c>
      <c r="C25" s="55">
        <v>3390</v>
      </c>
      <c r="D25"/>
      <c r="F25" s="14" t="s">
        <v>160</v>
      </c>
    </row>
    <row r="26" spans="1:8" x14ac:dyDescent="0.35">
      <c r="B26" s="62" t="s">
        <v>201</v>
      </c>
      <c r="C26" s="55">
        <v>3388</v>
      </c>
      <c r="D26"/>
    </row>
    <row r="27" spans="1:8" x14ac:dyDescent="0.35">
      <c r="B27" s="62" t="s">
        <v>199</v>
      </c>
      <c r="C27" s="55">
        <v>3012</v>
      </c>
      <c r="D27"/>
      <c r="F27" s="14" t="s">
        <v>68</v>
      </c>
    </row>
    <row r="28" spans="1:8" x14ac:dyDescent="0.35">
      <c r="B28" s="62" t="s">
        <v>192</v>
      </c>
      <c r="C28" s="55">
        <v>3009</v>
      </c>
      <c r="D28"/>
      <c r="F28" s="14" t="s">
        <v>190</v>
      </c>
    </row>
    <row r="29" spans="1:8" x14ac:dyDescent="0.35">
      <c r="B29" s="62" t="s">
        <v>197</v>
      </c>
      <c r="C29" s="55">
        <v>2921</v>
      </c>
      <c r="D29"/>
      <c r="F29" s="14" t="s">
        <v>182</v>
      </c>
    </row>
    <row r="30" spans="1:8" x14ac:dyDescent="0.35">
      <c r="B30" s="62" t="s">
        <v>137</v>
      </c>
      <c r="C30" s="55">
        <v>2856</v>
      </c>
      <c r="D30"/>
      <c r="F30" s="14" t="s">
        <v>186</v>
      </c>
    </row>
    <row r="31" spans="1:8" x14ac:dyDescent="0.35">
      <c r="B31" s="62" t="s">
        <v>135</v>
      </c>
      <c r="C31" s="55">
        <v>2763</v>
      </c>
      <c r="D31"/>
    </row>
    <row r="32" spans="1:8" x14ac:dyDescent="0.35">
      <c r="B32" s="62" t="s">
        <v>171</v>
      </c>
      <c r="C32" s="55">
        <v>2519</v>
      </c>
      <c r="D32"/>
      <c r="F32" s="14" t="s">
        <v>66</v>
      </c>
    </row>
    <row r="33" spans="2:6" x14ac:dyDescent="0.35">
      <c r="B33" s="62" t="s">
        <v>151</v>
      </c>
      <c r="C33" s="55">
        <v>2505</v>
      </c>
      <c r="D33"/>
      <c r="F33" s="56" t="s">
        <v>170</v>
      </c>
    </row>
    <row r="34" spans="2:6" x14ac:dyDescent="0.35">
      <c r="B34" s="54" t="s">
        <v>66</v>
      </c>
      <c r="C34" s="55">
        <v>22191</v>
      </c>
      <c r="D34"/>
      <c r="F34" s="56" t="s">
        <v>148</v>
      </c>
    </row>
    <row r="35" spans="2:6" x14ac:dyDescent="0.35">
      <c r="B35" s="62" t="s">
        <v>177</v>
      </c>
      <c r="C35" s="55">
        <v>1551</v>
      </c>
      <c r="D35"/>
      <c r="F35" s="56" t="s">
        <v>158</v>
      </c>
    </row>
    <row r="36" spans="2:6" x14ac:dyDescent="0.35">
      <c r="B36" s="62" t="s">
        <v>170</v>
      </c>
      <c r="C36" s="55">
        <v>1504</v>
      </c>
      <c r="D36"/>
    </row>
    <row r="37" spans="2:6" x14ac:dyDescent="0.35">
      <c r="B37" s="62" t="s">
        <v>148</v>
      </c>
      <c r="C37" s="55">
        <v>1483</v>
      </c>
      <c r="D37"/>
      <c r="F37" s="14" t="s">
        <v>69</v>
      </c>
    </row>
    <row r="38" spans="2:6" x14ac:dyDescent="0.35">
      <c r="B38" s="62" t="s">
        <v>158</v>
      </c>
      <c r="C38" s="55">
        <v>1446</v>
      </c>
      <c r="D38"/>
      <c r="F38" s="14" t="s">
        <v>205</v>
      </c>
    </row>
    <row r="39" spans="2:6" x14ac:dyDescent="0.35">
      <c r="B39" s="62" t="s">
        <v>147</v>
      </c>
      <c r="C39" s="55">
        <v>1390</v>
      </c>
      <c r="D39"/>
      <c r="F39" s="14" t="s">
        <v>139</v>
      </c>
    </row>
    <row r="40" spans="2:6" x14ac:dyDescent="0.35">
      <c r="B40" s="62" t="s">
        <v>169</v>
      </c>
      <c r="C40" s="55">
        <v>1370</v>
      </c>
      <c r="D40"/>
      <c r="F40" s="14" t="s">
        <v>153</v>
      </c>
    </row>
    <row r="41" spans="2:6" x14ac:dyDescent="0.35">
      <c r="B41" s="62" t="s">
        <v>149</v>
      </c>
      <c r="C41" s="55">
        <v>1350</v>
      </c>
      <c r="D41"/>
    </row>
    <row r="42" spans="2:6" x14ac:dyDescent="0.35">
      <c r="B42" s="62" t="s">
        <v>188</v>
      </c>
      <c r="C42" s="55">
        <v>1348</v>
      </c>
      <c r="D42"/>
    </row>
    <row r="43" spans="2:6" x14ac:dyDescent="0.35">
      <c r="B43" s="62" t="s">
        <v>138</v>
      </c>
      <c r="C43" s="55">
        <v>1273</v>
      </c>
      <c r="D43"/>
    </row>
    <row r="44" spans="2:6" x14ac:dyDescent="0.35">
      <c r="B44" s="62" t="s">
        <v>141</v>
      </c>
      <c r="C44" s="55">
        <v>1271</v>
      </c>
      <c r="D44"/>
    </row>
    <row r="45" spans="2:6" x14ac:dyDescent="0.35">
      <c r="B45" s="62" t="s">
        <v>175</v>
      </c>
      <c r="C45" s="55">
        <v>1260</v>
      </c>
      <c r="D45"/>
    </row>
    <row r="46" spans="2:6" x14ac:dyDescent="0.35">
      <c r="B46" s="62" t="s">
        <v>168</v>
      </c>
      <c r="C46" s="55">
        <v>1086</v>
      </c>
      <c r="D46"/>
    </row>
    <row r="47" spans="2:6" x14ac:dyDescent="0.35">
      <c r="B47" s="62" t="s">
        <v>150</v>
      </c>
      <c r="C47" s="55">
        <v>1069</v>
      </c>
      <c r="D47"/>
    </row>
    <row r="48" spans="2:6" x14ac:dyDescent="0.35">
      <c r="B48" s="62" t="s">
        <v>152</v>
      </c>
      <c r="C48" s="55">
        <v>1060</v>
      </c>
      <c r="D48"/>
    </row>
    <row r="49" spans="2:4" x14ac:dyDescent="0.35">
      <c r="B49" s="62" t="s">
        <v>167</v>
      </c>
      <c r="C49" s="55">
        <v>1019</v>
      </c>
      <c r="D49"/>
    </row>
    <row r="50" spans="2:4" x14ac:dyDescent="0.35">
      <c r="B50" s="62" t="s">
        <v>144</v>
      </c>
      <c r="C50" s="55">
        <v>946</v>
      </c>
      <c r="D50"/>
    </row>
    <row r="51" spans="2:4" x14ac:dyDescent="0.35">
      <c r="B51" s="62" t="s">
        <v>131</v>
      </c>
      <c r="C51" s="55">
        <v>885</v>
      </c>
      <c r="D51"/>
    </row>
    <row r="52" spans="2:4" x14ac:dyDescent="0.35">
      <c r="B52" s="62" t="s">
        <v>159</v>
      </c>
      <c r="C52" s="55">
        <v>880</v>
      </c>
      <c r="D52"/>
    </row>
    <row r="53" spans="2:4" x14ac:dyDescent="0.35">
      <c r="B53" s="62" t="s">
        <v>200</v>
      </c>
      <c r="C53" s="55">
        <v>0</v>
      </c>
      <c r="D53"/>
    </row>
    <row r="54" spans="2:4" x14ac:dyDescent="0.35">
      <c r="B54" s="62" t="s">
        <v>183</v>
      </c>
      <c r="C54" s="55"/>
      <c r="D54"/>
    </row>
    <row r="55" spans="2:4" x14ac:dyDescent="0.35">
      <c r="B55" s="54" t="s">
        <v>68</v>
      </c>
      <c r="C55" s="55">
        <v>17915</v>
      </c>
      <c r="D55"/>
    </row>
    <row r="56" spans="2:4" x14ac:dyDescent="0.35">
      <c r="B56" s="62" t="s">
        <v>190</v>
      </c>
      <c r="C56" s="55">
        <v>2055</v>
      </c>
      <c r="D56"/>
    </row>
    <row r="57" spans="2:4" x14ac:dyDescent="0.35">
      <c r="B57" s="62" t="s">
        <v>196</v>
      </c>
      <c r="C57" s="55">
        <v>1905</v>
      </c>
      <c r="D57"/>
    </row>
    <row r="58" spans="2:4" x14ac:dyDescent="0.35">
      <c r="B58" s="62" t="s">
        <v>182</v>
      </c>
      <c r="C58" s="55">
        <v>1733</v>
      </c>
      <c r="D58"/>
    </row>
    <row r="59" spans="2:4" x14ac:dyDescent="0.35">
      <c r="B59" s="62" t="s">
        <v>186</v>
      </c>
      <c r="C59" s="55">
        <v>1732</v>
      </c>
      <c r="D59"/>
    </row>
    <row r="60" spans="2:4" x14ac:dyDescent="0.35">
      <c r="B60" s="62" t="s">
        <v>185</v>
      </c>
      <c r="C60" s="55">
        <v>1710</v>
      </c>
      <c r="D60"/>
    </row>
    <row r="61" spans="2:4" x14ac:dyDescent="0.35">
      <c r="B61" s="62" t="s">
        <v>189</v>
      </c>
      <c r="C61" s="55">
        <v>1628</v>
      </c>
      <c r="D61"/>
    </row>
    <row r="62" spans="2:4" x14ac:dyDescent="0.35">
      <c r="B62" s="62" t="s">
        <v>143</v>
      </c>
      <c r="C62" s="55">
        <v>1593</v>
      </c>
      <c r="D62"/>
    </row>
    <row r="63" spans="2:4" x14ac:dyDescent="0.35">
      <c r="B63" s="62" t="s">
        <v>133</v>
      </c>
      <c r="C63" s="55">
        <v>1476</v>
      </c>
      <c r="D63"/>
    </row>
    <row r="64" spans="2:4" x14ac:dyDescent="0.35">
      <c r="B64" s="62" t="s">
        <v>142</v>
      </c>
      <c r="C64" s="55">
        <v>1436</v>
      </c>
      <c r="D64"/>
    </row>
    <row r="65" spans="2:4" x14ac:dyDescent="0.35">
      <c r="B65" s="62" t="s">
        <v>146</v>
      </c>
      <c r="C65" s="55">
        <v>1330</v>
      </c>
      <c r="D65"/>
    </row>
    <row r="66" spans="2:4" x14ac:dyDescent="0.35">
      <c r="B66" s="62" t="s">
        <v>181</v>
      </c>
      <c r="C66" s="55">
        <v>1317</v>
      </c>
      <c r="D66"/>
    </row>
    <row r="67" spans="2:4" x14ac:dyDescent="0.35">
      <c r="B67" s="54" t="s">
        <v>67</v>
      </c>
      <c r="C67" s="55">
        <v>7517</v>
      </c>
      <c r="D67"/>
    </row>
    <row r="68" spans="2:4" x14ac:dyDescent="0.35">
      <c r="B68" s="62" t="s">
        <v>184</v>
      </c>
      <c r="C68" s="55">
        <v>3111</v>
      </c>
      <c r="D68"/>
    </row>
    <row r="69" spans="2:4" x14ac:dyDescent="0.35">
      <c r="B69" s="62" t="s">
        <v>193</v>
      </c>
      <c r="C69" s="55">
        <v>2305</v>
      </c>
      <c r="D69"/>
    </row>
    <row r="70" spans="2:4" x14ac:dyDescent="0.35">
      <c r="B70" s="62" t="s">
        <v>198</v>
      </c>
      <c r="C70" s="55">
        <v>2101</v>
      </c>
      <c r="D70"/>
    </row>
    <row r="71" spans="2:4" x14ac:dyDescent="0.35">
      <c r="B71" s="54" t="s">
        <v>69</v>
      </c>
      <c r="C71" s="55">
        <v>5827</v>
      </c>
      <c r="D71"/>
    </row>
    <row r="72" spans="2:4" x14ac:dyDescent="0.35">
      <c r="B72" s="62" t="s">
        <v>139</v>
      </c>
      <c r="C72" s="55">
        <v>1299</v>
      </c>
      <c r="D72"/>
    </row>
    <row r="73" spans="2:4" x14ac:dyDescent="0.35">
      <c r="B73" s="62" t="s">
        <v>153</v>
      </c>
      <c r="C73" s="55">
        <v>1256</v>
      </c>
      <c r="D73"/>
    </row>
    <row r="74" spans="2:4" x14ac:dyDescent="0.35">
      <c r="B74" s="62" t="s">
        <v>163</v>
      </c>
      <c r="C74" s="55">
        <v>1216</v>
      </c>
      <c r="D74"/>
    </row>
    <row r="75" spans="2:4" x14ac:dyDescent="0.35">
      <c r="B75" s="62" t="s">
        <v>132</v>
      </c>
      <c r="C75" s="55">
        <v>1212</v>
      </c>
      <c r="D75"/>
    </row>
    <row r="76" spans="2:4" x14ac:dyDescent="0.35">
      <c r="B76" s="62" t="s">
        <v>156</v>
      </c>
      <c r="C76" s="55">
        <v>844</v>
      </c>
      <c r="D76"/>
    </row>
    <row r="77" spans="2:4" x14ac:dyDescent="0.35">
      <c r="B77" s="62" t="s">
        <v>161</v>
      </c>
      <c r="C77" s="55">
        <v>0</v>
      </c>
    </row>
    <row r="78" spans="2:4" x14ac:dyDescent="0.35">
      <c r="B78" s="62" t="s">
        <v>162</v>
      </c>
      <c r="C78" s="55">
        <v>0</v>
      </c>
    </row>
    <row r="79" spans="2:4" x14ac:dyDescent="0.35">
      <c r="B79" s="54" t="s">
        <v>206</v>
      </c>
      <c r="C79" s="55">
        <v>0</v>
      </c>
    </row>
    <row r="80" spans="2:4" x14ac:dyDescent="0.35">
      <c r="B80" s="62" t="s">
        <v>191</v>
      </c>
      <c r="C80" s="55">
        <v>0</v>
      </c>
    </row>
    <row r="81" spans="2:3" x14ac:dyDescent="0.35">
      <c r="B81"/>
      <c r="C81"/>
    </row>
    <row r="82" spans="2:3" x14ac:dyDescent="0.35">
      <c r="B82"/>
      <c r="C82"/>
    </row>
    <row r="83" spans="2:3" x14ac:dyDescent="0.35">
      <c r="B83"/>
      <c r="C83"/>
    </row>
    <row r="84" spans="2:3" x14ac:dyDescent="0.35">
      <c r="B84"/>
      <c r="C84"/>
    </row>
    <row r="85" spans="2:3" x14ac:dyDescent="0.35">
      <c r="B85"/>
      <c r="C85"/>
    </row>
    <row r="86" spans="2:3" x14ac:dyDescent="0.35">
      <c r="B86"/>
      <c r="C86"/>
    </row>
    <row r="87" spans="2:3" x14ac:dyDescent="0.35">
      <c r="B87"/>
      <c r="C87"/>
    </row>
    <row r="88" spans="2:3" x14ac:dyDescent="0.35">
      <c r="B88"/>
      <c r="C88"/>
    </row>
    <row r="89" spans="2:3" x14ac:dyDescent="0.35">
      <c r="B89"/>
      <c r="C89"/>
    </row>
    <row r="90" spans="2:3" x14ac:dyDescent="0.35">
      <c r="B90"/>
      <c r="C90"/>
    </row>
    <row r="91" spans="2:3" x14ac:dyDescent="0.35">
      <c r="B91"/>
      <c r="C91"/>
    </row>
    <row r="92" spans="2:3" x14ac:dyDescent="0.35">
      <c r="B92"/>
      <c r="C92"/>
    </row>
    <row r="93" spans="2:3" x14ac:dyDescent="0.35">
      <c r="B93"/>
      <c r="C93"/>
    </row>
    <row r="94" spans="2:3" x14ac:dyDescent="0.35">
      <c r="B94"/>
      <c r="C94"/>
    </row>
    <row r="95" spans="2:3" x14ac:dyDescent="0.35">
      <c r="B95"/>
      <c r="C95"/>
    </row>
    <row r="96" spans="2:3" x14ac:dyDescent="0.35">
      <c r="B96"/>
      <c r="C96"/>
    </row>
    <row r="97" spans="2:3" x14ac:dyDescent="0.35">
      <c r="B97"/>
      <c r="C97"/>
    </row>
    <row r="98" spans="2:3" x14ac:dyDescent="0.35">
      <c r="B98"/>
      <c r="C98"/>
    </row>
    <row r="99" spans="2:3" x14ac:dyDescent="0.35">
      <c r="B99"/>
      <c r="C99"/>
    </row>
    <row r="100" spans="2:3" x14ac:dyDescent="0.35">
      <c r="B100"/>
      <c r="C100"/>
    </row>
    <row r="101" spans="2:3" x14ac:dyDescent="0.35">
      <c r="B101"/>
      <c r="C101"/>
    </row>
    <row r="102" spans="2:3" x14ac:dyDescent="0.35">
      <c r="B102"/>
      <c r="C102"/>
    </row>
    <row r="103" spans="2:3" x14ac:dyDescent="0.35">
      <c r="B103"/>
      <c r="C103"/>
    </row>
    <row r="104" spans="2:3" x14ac:dyDescent="0.35">
      <c r="B104"/>
      <c r="C104"/>
    </row>
    <row r="105" spans="2:3" x14ac:dyDescent="0.35">
      <c r="B105"/>
      <c r="C105"/>
    </row>
    <row r="106" spans="2:3" x14ac:dyDescent="0.35">
      <c r="B106"/>
      <c r="C106"/>
    </row>
    <row r="107" spans="2:3" x14ac:dyDescent="0.35">
      <c r="B107"/>
      <c r="C107"/>
    </row>
    <row r="108" spans="2:3" x14ac:dyDescent="0.35">
      <c r="B108"/>
      <c r="C108"/>
    </row>
    <row r="109" spans="2:3" x14ac:dyDescent="0.35">
      <c r="B109"/>
      <c r="C109"/>
    </row>
    <row r="110" spans="2:3" x14ac:dyDescent="0.35">
      <c r="B110"/>
      <c r="C110"/>
    </row>
    <row r="111" spans="2:3" x14ac:dyDescent="0.35">
      <c r="B111"/>
      <c r="C111"/>
    </row>
    <row r="112" spans="2:3" x14ac:dyDescent="0.35">
      <c r="B112"/>
      <c r="C112"/>
    </row>
    <row r="113" spans="2:3" x14ac:dyDescent="0.35">
      <c r="B113"/>
      <c r="C113"/>
    </row>
    <row r="114" spans="2:3" x14ac:dyDescent="0.35">
      <c r="B114"/>
      <c r="C114"/>
    </row>
    <row r="115" spans="2:3" x14ac:dyDescent="0.35">
      <c r="B115"/>
      <c r="C115"/>
    </row>
    <row r="116" spans="2:3" x14ac:dyDescent="0.35">
      <c r="B116"/>
      <c r="C116"/>
    </row>
    <row r="117" spans="2:3" x14ac:dyDescent="0.35">
      <c r="B117"/>
      <c r="C117"/>
    </row>
    <row r="118" spans="2:3" x14ac:dyDescent="0.35">
      <c r="B118"/>
      <c r="C118"/>
    </row>
    <row r="119" spans="2:3" x14ac:dyDescent="0.35">
      <c r="B119"/>
      <c r="C119"/>
    </row>
    <row r="120" spans="2:3" x14ac:dyDescent="0.35">
      <c r="B120"/>
      <c r="C120"/>
    </row>
    <row r="121" spans="2:3" x14ac:dyDescent="0.35">
      <c r="B121"/>
      <c r="C121"/>
    </row>
    <row r="122" spans="2:3" x14ac:dyDescent="0.35">
      <c r="B122"/>
      <c r="C122"/>
    </row>
    <row r="123" spans="2:3" x14ac:dyDescent="0.35">
      <c r="B123"/>
      <c r="C123"/>
    </row>
    <row r="124" spans="2:3" x14ac:dyDescent="0.35">
      <c r="B124"/>
      <c r="C124"/>
    </row>
    <row r="125" spans="2:3" x14ac:dyDescent="0.35">
      <c r="B125"/>
      <c r="C125"/>
    </row>
    <row r="126" spans="2:3" x14ac:dyDescent="0.35">
      <c r="B126"/>
      <c r="C126"/>
    </row>
    <row r="127" spans="2:3" x14ac:dyDescent="0.35">
      <c r="B127"/>
      <c r="C127"/>
    </row>
    <row r="128" spans="2:3" x14ac:dyDescent="0.35">
      <c r="B128"/>
      <c r="C128"/>
    </row>
    <row r="129" spans="2:3" x14ac:dyDescent="0.35">
      <c r="B129"/>
      <c r="C129"/>
    </row>
    <row r="130" spans="2:3" x14ac:dyDescent="0.35">
      <c r="B130"/>
      <c r="C130"/>
    </row>
    <row r="131" spans="2:3" x14ac:dyDescent="0.35">
      <c r="B131"/>
      <c r="C131"/>
    </row>
    <row r="132" spans="2:3" x14ac:dyDescent="0.35">
      <c r="B132"/>
      <c r="C132"/>
    </row>
    <row r="133" spans="2:3" x14ac:dyDescent="0.35">
      <c r="B133"/>
      <c r="C133"/>
    </row>
    <row r="134" spans="2:3" x14ac:dyDescent="0.35">
      <c r="B134"/>
      <c r="C134"/>
    </row>
    <row r="135" spans="2:3" x14ac:dyDescent="0.35">
      <c r="B135"/>
      <c r="C135"/>
    </row>
    <row r="136" spans="2:3" x14ac:dyDescent="0.35">
      <c r="B136"/>
      <c r="C136"/>
    </row>
    <row r="137" spans="2:3" x14ac:dyDescent="0.35">
      <c r="B137"/>
      <c r="C137"/>
    </row>
    <row r="138" spans="2:3" x14ac:dyDescent="0.35">
      <c r="B138"/>
      <c r="C138"/>
    </row>
    <row r="139" spans="2:3" x14ac:dyDescent="0.35">
      <c r="B139"/>
      <c r="C139"/>
    </row>
    <row r="140" spans="2:3" x14ac:dyDescent="0.35">
      <c r="B140"/>
      <c r="C140"/>
    </row>
  </sheetData>
  <mergeCells count="1">
    <mergeCell ref="H8:N8"/>
  </mergeCells>
  <pageMargins left="0.7" right="0.7" top="0.75" bottom="0.75" header="0.3" footer="0.3"/>
  <pageSetup orientation="portrait" horizontalDpi="4294967293" verticalDpi="0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100</vt:i4>
      </vt:variant>
    </vt:vector>
  </HeadingPairs>
  <TitlesOfParts>
    <vt:vector size="103" baseType="lpstr">
      <vt:lpstr>Climber Records</vt:lpstr>
      <vt:lpstr>Problem Values</vt:lpstr>
      <vt:lpstr>Comp Results</vt:lpstr>
      <vt:lpstr>DU</vt:lpstr>
      <vt:lpstr>F</vt:lpstr>
      <vt:lpstr>M</vt:lpstr>
      <vt:lpstr>MA</vt:lpstr>
      <vt:lpstr>MAP</vt:lpstr>
      <vt:lpstr>MB</vt:lpstr>
      <vt:lpstr>MBP</vt:lpstr>
      <vt:lpstr>MI</vt:lpstr>
      <vt:lpstr>MIP</vt:lpstr>
      <vt:lpstr>PU</vt:lpstr>
      <vt:lpstr>TU</vt:lpstr>
      <vt:lpstr>UDEL</vt:lpstr>
      <vt:lpstr>UPENN</vt:lpstr>
      <vt:lpstr>VU</vt:lpstr>
      <vt:lpstr>W</vt:lpstr>
      <vt:lpstr>WA</vt:lpstr>
      <vt:lpstr>WAP</vt:lpstr>
      <vt:lpstr>WB</vt:lpstr>
      <vt:lpstr>WBP</vt:lpstr>
      <vt:lpstr>WCU</vt:lpstr>
      <vt:lpstr>WI</vt:lpstr>
      <vt:lpstr>WIP</vt:lpstr>
      <vt:lpstr>ZA</vt:lpstr>
      <vt:lpstr>ZAA</vt:lpstr>
      <vt:lpstr>ZAAA</vt:lpstr>
      <vt:lpstr>ZB</vt:lpstr>
      <vt:lpstr>ZBB</vt:lpstr>
      <vt:lpstr>ZBBB</vt:lpstr>
      <vt:lpstr>ZC</vt:lpstr>
      <vt:lpstr>ZCC</vt:lpstr>
      <vt:lpstr>ZCCC</vt:lpstr>
      <vt:lpstr>ZD</vt:lpstr>
      <vt:lpstr>ZDD</vt:lpstr>
      <vt:lpstr>ZDDD</vt:lpstr>
      <vt:lpstr>ZE</vt:lpstr>
      <vt:lpstr>ZEE</vt:lpstr>
      <vt:lpstr>ZEEE</vt:lpstr>
      <vt:lpstr>ZF</vt:lpstr>
      <vt:lpstr>ZFF</vt:lpstr>
      <vt:lpstr>ZFFF</vt:lpstr>
      <vt:lpstr>ZG</vt:lpstr>
      <vt:lpstr>ZGG</vt:lpstr>
      <vt:lpstr>ZGGG</vt:lpstr>
      <vt:lpstr>ZH</vt:lpstr>
      <vt:lpstr>ZHH</vt:lpstr>
      <vt:lpstr>ZHHH</vt:lpstr>
      <vt:lpstr>ZI</vt:lpstr>
      <vt:lpstr>ZII</vt:lpstr>
      <vt:lpstr>ZIII</vt:lpstr>
      <vt:lpstr>ZJ</vt:lpstr>
      <vt:lpstr>ZJJ</vt:lpstr>
      <vt:lpstr>ZJJJ</vt:lpstr>
      <vt:lpstr>ZK</vt:lpstr>
      <vt:lpstr>ZKK</vt:lpstr>
      <vt:lpstr>ZKKK</vt:lpstr>
      <vt:lpstr>ZL</vt:lpstr>
      <vt:lpstr>ZLL</vt:lpstr>
      <vt:lpstr>ZLLL</vt:lpstr>
      <vt:lpstr>ZM</vt:lpstr>
      <vt:lpstr>ZMM</vt:lpstr>
      <vt:lpstr>ZMMM</vt:lpstr>
      <vt:lpstr>ZN</vt:lpstr>
      <vt:lpstr>ZNN</vt:lpstr>
      <vt:lpstr>ZNNN</vt:lpstr>
      <vt:lpstr>ZO</vt:lpstr>
      <vt:lpstr>ZOO</vt:lpstr>
      <vt:lpstr>ZOOO</vt:lpstr>
      <vt:lpstr>ZP</vt:lpstr>
      <vt:lpstr>ZPP</vt:lpstr>
      <vt:lpstr>ZPPP</vt:lpstr>
      <vt:lpstr>ZQ</vt:lpstr>
      <vt:lpstr>ZQQ</vt:lpstr>
      <vt:lpstr>ZQQQ</vt:lpstr>
      <vt:lpstr>ZR</vt:lpstr>
      <vt:lpstr>ZRR</vt:lpstr>
      <vt:lpstr>ZRRR</vt:lpstr>
      <vt:lpstr>ZS</vt:lpstr>
      <vt:lpstr>ZSS</vt:lpstr>
      <vt:lpstr>ZSSS</vt:lpstr>
      <vt:lpstr>ZT</vt:lpstr>
      <vt:lpstr>ZTT</vt:lpstr>
      <vt:lpstr>ZTTT</vt:lpstr>
      <vt:lpstr>ZU</vt:lpstr>
      <vt:lpstr>ZUU</vt:lpstr>
      <vt:lpstr>ZUUU</vt:lpstr>
      <vt:lpstr>ZV</vt:lpstr>
      <vt:lpstr>ZVV</vt:lpstr>
      <vt:lpstr>ZVVV</vt:lpstr>
      <vt:lpstr>ZW</vt:lpstr>
      <vt:lpstr>ZWW</vt:lpstr>
      <vt:lpstr>ZWWW</vt:lpstr>
      <vt:lpstr>ZX</vt:lpstr>
      <vt:lpstr>ZXX</vt:lpstr>
      <vt:lpstr>ZXXX</vt:lpstr>
      <vt:lpstr>ZY</vt:lpstr>
      <vt:lpstr>ZYY</vt:lpstr>
      <vt:lpstr>ZYYY</vt:lpstr>
      <vt:lpstr>ZZ</vt:lpstr>
      <vt:lpstr>ZZZ</vt:lpstr>
      <vt:lpstr>ZZZZ</vt:lpstr>
    </vt:vector>
  </TitlesOfParts>
  <Company>Drexel 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Devilbiss</dc:creator>
  <cp:lastModifiedBy>Tyler</cp:lastModifiedBy>
  <dcterms:created xsi:type="dcterms:W3CDTF">2013-11-08T01:14:19Z</dcterms:created>
  <dcterms:modified xsi:type="dcterms:W3CDTF">2015-02-03T19:29:45Z</dcterms:modified>
</cp:coreProperties>
</file>