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Tucker\Documents\PCCS\Score Sheets\"/>
    </mc:Choice>
  </mc:AlternateContent>
  <bookViews>
    <workbookView xWindow="8400" yWindow="-15" windowWidth="8460" windowHeight="8250"/>
  </bookViews>
  <sheets>
    <sheet name="Climber Records" sheetId="2" r:id="rId1"/>
    <sheet name="Problem Values" sheetId="1" r:id="rId2"/>
    <sheet name="Comp Results" sheetId="3" r:id="rId3"/>
  </sheets>
  <definedNames>
    <definedName name="_xlnm._FilterDatabase" localSheetId="0" hidden="1">'Climber Records'!$F$3:$F$90</definedName>
    <definedName name="DU">'Problem Values'!$Q$3</definedName>
    <definedName name="F">'Problem Values'!$M$2</definedName>
    <definedName name="M">'Problem Values'!$M$13</definedName>
    <definedName name="MA">'Problem Values'!$L$5</definedName>
    <definedName name="MAP">'Problem Values'!$M$5</definedName>
    <definedName name="MB">'Problem Values'!$L$7</definedName>
    <definedName name="MBP">'Problem Values'!$M$7</definedName>
    <definedName name="MI">'Problem Values'!$L$6</definedName>
    <definedName name="MIP">'Problem Values'!$M$6</definedName>
    <definedName name="PU">'Problem Values'!$Q$7</definedName>
    <definedName name="TU">'Problem Values'!$Q$6</definedName>
    <definedName name="UDEL">'Problem Values'!$Q$5</definedName>
    <definedName name="UPENN">'Problem Values'!$Q$11</definedName>
    <definedName name="VU">'Problem Values'!$Q$9</definedName>
    <definedName name="W">'Problem Values'!$M$14</definedName>
    <definedName name="WA">'Problem Values'!$L$8</definedName>
    <definedName name="WAP">'Problem Values'!$M$8</definedName>
    <definedName name="WB">'Problem Values'!$L$10</definedName>
    <definedName name="WBP">'Problem Values'!$M$10</definedName>
    <definedName name="WCU">'Problem Values'!$Q$8</definedName>
    <definedName name="WI">'Problem Values'!$L$9</definedName>
    <definedName name="WIP">'Problem Values'!$M$9</definedName>
    <definedName name="ZA">'Problem Values'!$C$3</definedName>
    <definedName name="ZAA">'Problem Values'!$F$3</definedName>
    <definedName name="ZAAA">'Problem Values'!$I$3</definedName>
    <definedName name="ZB">'Problem Values'!$C$4</definedName>
    <definedName name="ZBB">'Problem Values'!$F$4</definedName>
    <definedName name="ZBBB">'Problem Values'!$I$4</definedName>
    <definedName name="ZC">'Problem Values'!$C$5</definedName>
    <definedName name="ZCC">'Problem Values'!$F$5</definedName>
    <definedName name="ZCCC">'Problem Values'!$I$5</definedName>
    <definedName name="ZD">'Problem Values'!$C$6</definedName>
    <definedName name="ZDD">'Problem Values'!$F$6</definedName>
    <definedName name="ZDDD">'Problem Values'!$I$6</definedName>
    <definedName name="ZE">'Problem Values'!$C$7</definedName>
    <definedName name="ZEE">'Problem Values'!$F$7</definedName>
    <definedName name="ZEEE">'Problem Values'!$I$7</definedName>
    <definedName name="ZF">'Problem Values'!$C$8</definedName>
    <definedName name="ZFF">'Problem Values'!$F$8</definedName>
    <definedName name="ZFFF">'Problem Values'!$I$8</definedName>
    <definedName name="ZG">'Problem Values'!$C$9</definedName>
    <definedName name="ZGG">'Problem Values'!$F$9</definedName>
    <definedName name="ZGGG">'Problem Values'!$I$9</definedName>
    <definedName name="ZH">'Problem Values'!$C$10</definedName>
    <definedName name="ZHH">'Problem Values'!$F$10</definedName>
    <definedName name="ZHHH">'Problem Values'!$I$10</definedName>
    <definedName name="ZI">'Problem Values'!$C$11</definedName>
    <definedName name="ZII">'Problem Values'!$F$11</definedName>
    <definedName name="ZIII">'Problem Values'!$I$11</definedName>
    <definedName name="ZJ">'Problem Values'!$C$12</definedName>
    <definedName name="ZJJ">'Problem Values'!$F$12</definedName>
    <definedName name="ZJJJ">'Problem Values'!$I$12</definedName>
    <definedName name="ZK">'Problem Values'!$C$13</definedName>
    <definedName name="ZKK">'Problem Values'!$F$13</definedName>
    <definedName name="ZKKK">'Problem Values'!$I$13</definedName>
    <definedName name="ZL">'Problem Values'!$C$14</definedName>
    <definedName name="ZLL">'Problem Values'!$F$14</definedName>
    <definedName name="ZLLL">'Problem Values'!$I$14</definedName>
    <definedName name="ZM">'Problem Values'!$C$15</definedName>
    <definedName name="ZMM">'Problem Values'!$F$15</definedName>
    <definedName name="ZMMM">'Problem Values'!$I$15</definedName>
    <definedName name="ZN">'Problem Values'!$C$16</definedName>
    <definedName name="ZNN">'Problem Values'!$F$16</definedName>
    <definedName name="ZNNN">'Problem Values'!$I$16</definedName>
    <definedName name="ZO">'Problem Values'!$C$17</definedName>
    <definedName name="ZOO">'Problem Values'!$F$17</definedName>
    <definedName name="ZOOO">'Problem Values'!$I$17</definedName>
    <definedName name="ZP">'Problem Values'!$C$18</definedName>
    <definedName name="ZPP">'Problem Values'!$F$18</definedName>
    <definedName name="ZPPP">'Problem Values'!$I$18</definedName>
    <definedName name="ZQ">'Problem Values'!$C$19</definedName>
    <definedName name="ZQQ">'Problem Values'!$F$19</definedName>
    <definedName name="ZQQQ">'Problem Values'!$I$19</definedName>
    <definedName name="ZR">'Problem Values'!$C$20</definedName>
    <definedName name="ZRR">'Problem Values'!$F$20</definedName>
    <definedName name="ZRRR">'Problem Values'!$I$20</definedName>
    <definedName name="ZS">'Problem Values'!$C$21</definedName>
    <definedName name="ZSS">'Problem Values'!$F$21</definedName>
    <definedName name="ZSSS">'Problem Values'!$I$21</definedName>
    <definedName name="ZT">'Problem Values'!$C$22</definedName>
    <definedName name="ZTT">'Problem Values'!$F$22</definedName>
    <definedName name="ZTTT">'Problem Values'!$I$22</definedName>
    <definedName name="ZU">'Problem Values'!$C$23</definedName>
    <definedName name="ZUU">'Problem Values'!$F$23</definedName>
    <definedName name="ZUUU">'Problem Values'!$I$23</definedName>
    <definedName name="ZV">'Problem Values'!$C$24</definedName>
    <definedName name="ZVV">'Problem Values'!$F$24</definedName>
    <definedName name="ZVVV">'Problem Values'!$I$24</definedName>
    <definedName name="ZW">'Problem Values'!$C$25</definedName>
    <definedName name="ZWW">'Problem Values'!$F$25</definedName>
    <definedName name="ZWWW">'Problem Values'!$I$25</definedName>
    <definedName name="ZX">'Problem Values'!$C$26</definedName>
    <definedName name="ZXX">'Problem Values'!$F$26</definedName>
    <definedName name="ZXXX">'Problem Values'!$I$26</definedName>
    <definedName name="ZY">'Problem Values'!$C$27</definedName>
    <definedName name="ZYY">'Problem Values'!$F$27</definedName>
    <definedName name="ZYYY">'Problem Values'!$I$27</definedName>
    <definedName name="ZZ">'Problem Values'!$C$28</definedName>
    <definedName name="ZZZ">'Problem Values'!$F$28</definedName>
    <definedName name="ZZZZ">'Problem Values'!$I$28</definedName>
  </definedNames>
  <calcPr calcId="152511"/>
  <pivotCaches>
    <pivotCache cacheId="0" r:id="rId4"/>
  </pivotCaches>
</workbook>
</file>

<file path=xl/calcChain.xml><?xml version="1.0" encoding="utf-8"?>
<calcChain xmlns="http://schemas.openxmlformats.org/spreadsheetml/2006/main">
  <c r="P8" i="3" l="1"/>
  <c r="P7" i="3"/>
  <c r="Q9" i="3"/>
  <c r="Q8" i="3"/>
  <c r="Q7" i="3"/>
  <c r="O9" i="3"/>
  <c r="O8" i="3"/>
  <c r="O7" i="3"/>
  <c r="N7" i="3"/>
  <c r="N8" i="3"/>
  <c r="N9" i="3"/>
  <c r="J64" i="2"/>
  <c r="K64" i="2"/>
  <c r="P46" i="2"/>
  <c r="O46" i="2"/>
  <c r="N46" i="2"/>
  <c r="M46" i="2"/>
  <c r="L46" i="2"/>
  <c r="K46" i="2"/>
  <c r="J46" i="2"/>
  <c r="M56" i="2"/>
  <c r="L56" i="2"/>
  <c r="N14" i="2"/>
  <c r="M14" i="2"/>
  <c r="K56" i="2"/>
  <c r="J56" i="2"/>
  <c r="L85" i="2"/>
  <c r="K85" i="2"/>
  <c r="J85" i="2"/>
  <c r="N63" i="2"/>
  <c r="M63" i="2"/>
  <c r="L63" i="2"/>
  <c r="K63" i="2"/>
  <c r="J63" i="2"/>
  <c r="O26" i="2"/>
  <c r="N26" i="2"/>
  <c r="M26" i="2"/>
  <c r="L26" i="2"/>
  <c r="K26" i="2"/>
  <c r="J26" i="2"/>
  <c r="O49" i="2"/>
  <c r="N49" i="2"/>
  <c r="M49" i="2"/>
  <c r="L49" i="2"/>
  <c r="K49" i="2"/>
  <c r="J49" i="2"/>
  <c r="N73" i="2"/>
  <c r="N81" i="2"/>
  <c r="M81" i="2"/>
  <c r="L81" i="2"/>
  <c r="K81" i="2"/>
  <c r="J81" i="2"/>
  <c r="K12" i="2"/>
  <c r="J12" i="2"/>
  <c r="N89" i="2"/>
  <c r="O65" i="2"/>
  <c r="M73" i="2"/>
  <c r="L73" i="2"/>
  <c r="K73" i="2"/>
  <c r="J73" i="2"/>
  <c r="N5" i="2"/>
  <c r="M5" i="2"/>
  <c r="L5" i="2"/>
  <c r="K5" i="2"/>
  <c r="J5" i="2"/>
  <c r="M89" i="2"/>
  <c r="L89" i="2"/>
  <c r="K89" i="2"/>
  <c r="J89" i="2"/>
  <c r="O37" i="2"/>
  <c r="N37" i="2"/>
  <c r="M37" i="2"/>
  <c r="O6" i="2"/>
  <c r="L54" i="2"/>
  <c r="K54" i="2"/>
  <c r="J54" i="2"/>
  <c r="N65" i="2"/>
  <c r="M65" i="2"/>
  <c r="L65" i="2"/>
  <c r="K65" i="2"/>
  <c r="J65" i="2"/>
  <c r="Q86" i="2"/>
  <c r="O71" i="2"/>
  <c r="N71" i="2"/>
  <c r="M71" i="2"/>
  <c r="L71" i="2"/>
  <c r="K71" i="2"/>
  <c r="J71" i="2"/>
  <c r="N32" i="2"/>
  <c r="P86" i="2"/>
  <c r="L37" i="2"/>
  <c r="K37" i="2"/>
  <c r="J37" i="2"/>
  <c r="N6" i="2"/>
  <c r="M6" i="2"/>
  <c r="L14" i="2"/>
  <c r="K14" i="2"/>
  <c r="J14" i="2"/>
  <c r="L6" i="2"/>
  <c r="K6" i="2"/>
  <c r="J6" i="2"/>
  <c r="M32" i="2"/>
  <c r="L32" i="2"/>
  <c r="K32" i="2"/>
  <c r="J32" i="2"/>
  <c r="O86" i="2"/>
  <c r="N86" i="2"/>
  <c r="M86" i="2"/>
  <c r="L86" i="2"/>
  <c r="K86" i="2"/>
  <c r="J86" i="2"/>
  <c r="L52" i="2"/>
  <c r="K52" i="2"/>
  <c r="J52" i="2"/>
  <c r="K62" i="2"/>
  <c r="J62" i="2"/>
  <c r="N36" i="2"/>
  <c r="M36" i="2"/>
  <c r="L36" i="2"/>
  <c r="K36" i="2"/>
  <c r="J36" i="2"/>
  <c r="N70" i="2"/>
  <c r="M70" i="2"/>
  <c r="L70" i="2"/>
  <c r="K70" i="2"/>
  <c r="J70" i="2"/>
  <c r="N87" i="2"/>
  <c r="M87" i="2"/>
  <c r="L87" i="2"/>
  <c r="K87" i="2"/>
  <c r="J87" i="2"/>
  <c r="L20" i="2"/>
  <c r="K20" i="2"/>
  <c r="J20" i="2"/>
  <c r="M24" i="2"/>
  <c r="M67" i="2"/>
  <c r="Q77" i="2"/>
  <c r="M51" i="2"/>
  <c r="J51" i="2"/>
  <c r="L51" i="2"/>
  <c r="K51" i="2"/>
  <c r="K15" i="2"/>
  <c r="J15" i="2"/>
  <c r="L61" i="2"/>
  <c r="K61" i="2"/>
  <c r="J61" i="2"/>
  <c r="M80" i="2"/>
  <c r="P19" i="2"/>
  <c r="N66" i="2"/>
  <c r="M66" i="2"/>
  <c r="L66" i="2"/>
  <c r="K66" i="2"/>
  <c r="J66" i="2"/>
  <c r="O42" i="2"/>
  <c r="N42" i="2"/>
  <c r="M42" i="2"/>
  <c r="L42" i="2"/>
  <c r="K42" i="2"/>
  <c r="J42" i="2"/>
  <c r="M76" i="2"/>
  <c r="N10" i="2"/>
  <c r="M10" i="2"/>
  <c r="L10" i="2"/>
  <c r="K10" i="2"/>
  <c r="J10" i="2"/>
  <c r="N90" i="2"/>
  <c r="M90" i="2"/>
  <c r="L90" i="2"/>
  <c r="K90" i="2"/>
  <c r="J90" i="2"/>
  <c r="N40" i="2"/>
  <c r="M59" i="2"/>
  <c r="O19" i="2"/>
  <c r="N19" i="2"/>
  <c r="M19" i="2"/>
  <c r="O55" i="2"/>
  <c r="N55" i="2"/>
  <c r="M55" i="2"/>
  <c r="L55" i="2"/>
  <c r="K55" i="2"/>
  <c r="J55" i="2"/>
  <c r="L67" i="2"/>
  <c r="K67" i="2"/>
  <c r="J67" i="2"/>
  <c r="O45" i="2"/>
  <c r="N45" i="2"/>
  <c r="M45" i="2"/>
  <c r="O83" i="2"/>
  <c r="N83" i="2"/>
  <c r="M83" i="2"/>
  <c r="L83" i="2"/>
  <c r="K83" i="2"/>
  <c r="K84" i="2"/>
  <c r="J84" i="2"/>
  <c r="P79" i="2"/>
  <c r="O79" i="2"/>
  <c r="N79" i="2"/>
  <c r="M79" i="2"/>
  <c r="L79" i="2"/>
  <c r="K79" i="2"/>
  <c r="J79" i="2"/>
  <c r="N25" i="2"/>
  <c r="M60" i="2"/>
  <c r="L60" i="2"/>
  <c r="K60" i="2"/>
  <c r="J60" i="2"/>
  <c r="P77" i="2"/>
  <c r="O77" i="2"/>
  <c r="N7" i="2"/>
  <c r="L24" i="2"/>
  <c r="K24" i="2"/>
  <c r="J24" i="2"/>
  <c r="M40" i="2"/>
  <c r="N8" i="2"/>
  <c r="J83" i="2"/>
  <c r="N53" i="2"/>
  <c r="M21" i="2"/>
  <c r="L21" i="2"/>
  <c r="K21" i="2"/>
  <c r="J21" i="2"/>
  <c r="N77" i="2"/>
  <c r="M8" i="2"/>
  <c r="L8" i="2"/>
  <c r="K8" i="2"/>
  <c r="J8" i="2"/>
  <c r="O47" i="2"/>
  <c r="L74" i="2"/>
  <c r="K74" i="2"/>
  <c r="J74" i="2"/>
  <c r="L59" i="2"/>
  <c r="K59" i="2"/>
  <c r="J59" i="2"/>
  <c r="M53" i="2"/>
  <c r="L76" i="2"/>
  <c r="K28" i="2"/>
  <c r="J28" i="2"/>
  <c r="L44" i="2"/>
  <c r="K44" i="2"/>
  <c r="J44" i="2"/>
  <c r="K11" i="2"/>
  <c r="M7" i="2"/>
  <c r="K38" i="2"/>
  <c r="J38" i="2"/>
  <c r="L53" i="2"/>
  <c r="M77" i="2"/>
  <c r="L45" i="2"/>
  <c r="K45" i="2"/>
  <c r="J45" i="2"/>
  <c r="L7" i="2"/>
  <c r="N47" i="2"/>
  <c r="J11" i="2"/>
  <c r="L77" i="2"/>
  <c r="K77" i="2"/>
  <c r="J77" i="2"/>
  <c r="L40" i="2"/>
  <c r="K53" i="2"/>
  <c r="J53" i="2"/>
  <c r="M47" i="2"/>
  <c r="L47" i="2"/>
  <c r="K47" i="2"/>
  <c r="J47" i="2"/>
  <c r="M25" i="2"/>
  <c r="L25" i="2"/>
  <c r="K25" i="2"/>
  <c r="J25" i="2"/>
  <c r="K7" i="2"/>
  <c r="K76" i="2"/>
  <c r="J76" i="2"/>
  <c r="L19" i="2"/>
  <c r="K19" i="2"/>
  <c r="J19" i="2"/>
  <c r="L80" i="2"/>
  <c r="K80" i="2"/>
  <c r="J80" i="2"/>
  <c r="K40" i="2"/>
  <c r="J7" i="2"/>
  <c r="J40" i="2"/>
  <c r="K58" i="2"/>
  <c r="J58" i="2"/>
  <c r="Q68" i="2"/>
  <c r="O18" i="2"/>
  <c r="O33" i="2"/>
  <c r="N72" i="2"/>
  <c r="O50" i="2"/>
  <c r="N50" i="2"/>
  <c r="K50" i="2"/>
  <c r="P29" i="2"/>
  <c r="N88" i="2"/>
  <c r="N23" i="2"/>
  <c r="O69" i="2"/>
  <c r="N69" i="2"/>
  <c r="O31" i="2"/>
  <c r="P68" i="2"/>
  <c r="O82" i="2"/>
  <c r="J43" i="2"/>
  <c r="I43" i="2" s="1"/>
  <c r="G43" i="2" s="1"/>
  <c r="R30" i="2"/>
  <c r="M75" i="2"/>
  <c r="L75" i="2"/>
  <c r="N4" i="2"/>
  <c r="M4" i="2"/>
  <c r="N33" i="2"/>
  <c r="M33" i="2"/>
  <c r="N48" i="2"/>
  <c r="M48" i="2"/>
  <c r="N13" i="2"/>
  <c r="M13" i="2"/>
  <c r="N39" i="2"/>
  <c r="M39" i="2"/>
  <c r="L39" i="2"/>
  <c r="K39" i="2"/>
  <c r="J39" i="2"/>
  <c r="P9" i="2"/>
  <c r="O9" i="2"/>
  <c r="M69" i="2"/>
  <c r="L69" i="2"/>
  <c r="K69" i="2"/>
  <c r="J69" i="2"/>
  <c r="O34" i="2"/>
  <c r="N34" i="2"/>
  <c r="M34" i="2"/>
  <c r="L17" i="2"/>
  <c r="L57" i="2"/>
  <c r="K57" i="2"/>
  <c r="O41" i="2"/>
  <c r="O29" i="2"/>
  <c r="N29" i="2"/>
  <c r="M29" i="2"/>
  <c r="L29" i="2"/>
  <c r="K29" i="2"/>
  <c r="J29" i="2"/>
  <c r="K16" i="2"/>
  <c r="L48" i="2"/>
  <c r="K48" i="2"/>
  <c r="J48" i="2"/>
  <c r="M16" i="2"/>
  <c r="L16" i="2"/>
  <c r="N18" i="2"/>
  <c r="M18" i="2"/>
  <c r="M23" i="2"/>
  <c r="L23" i="2"/>
  <c r="K23" i="2"/>
  <c r="J23" i="2"/>
  <c r="Q30" i="2"/>
  <c r="P30" i="2"/>
  <c r="O30" i="2"/>
  <c r="M88" i="2"/>
  <c r="L88" i="2"/>
  <c r="K88" i="2"/>
  <c r="J88" i="2"/>
  <c r="M50" i="2"/>
  <c r="L50" i="2"/>
  <c r="N41" i="2"/>
  <c r="L13" i="2"/>
  <c r="K13" i="2"/>
  <c r="J13" i="2"/>
  <c r="O68" i="2"/>
  <c r="N68" i="2"/>
  <c r="M72" i="2"/>
  <c r="L72" i="2"/>
  <c r="K72" i="2"/>
  <c r="J72" i="2"/>
  <c r="K27" i="2"/>
  <c r="N27" i="2"/>
  <c r="M27" i="2"/>
  <c r="L27" i="2"/>
  <c r="J27" i="2"/>
  <c r="N31" i="2"/>
  <c r="M31" i="2"/>
  <c r="L31" i="2"/>
  <c r="K31" i="2"/>
  <c r="J31" i="2"/>
  <c r="N82" i="2"/>
  <c r="M35" i="2"/>
  <c r="L4" i="2"/>
  <c r="M22" i="2"/>
  <c r="L22" i="2"/>
  <c r="K22" i="2"/>
  <c r="J22" i="2"/>
  <c r="K75" i="2"/>
  <c r="J75" i="2"/>
  <c r="K4" i="2"/>
  <c r="J4" i="2"/>
  <c r="L34" i="2"/>
  <c r="K34" i="2"/>
  <c r="J34" i="2"/>
  <c r="K17" i="2"/>
  <c r="J17" i="2"/>
  <c r="M82" i="2"/>
  <c r="L82" i="2"/>
  <c r="K82" i="2"/>
  <c r="J82" i="2"/>
  <c r="M68" i="2"/>
  <c r="L68" i="2"/>
  <c r="K68" i="2"/>
  <c r="J68" i="2"/>
  <c r="N9" i="2"/>
  <c r="M9" i="2"/>
  <c r="L9" i="2"/>
  <c r="K9" i="2"/>
  <c r="J9" i="2"/>
  <c r="M41" i="2"/>
  <c r="L41" i="2"/>
  <c r="K41" i="2"/>
  <c r="J41" i="2"/>
  <c r="L33" i="2"/>
  <c r="K33" i="2"/>
  <c r="J33" i="2"/>
  <c r="J50" i="2"/>
  <c r="J57" i="2"/>
  <c r="N30" i="2"/>
  <c r="M30" i="2"/>
  <c r="L30" i="2"/>
  <c r="K30" i="2"/>
  <c r="J30" i="2"/>
  <c r="L18" i="2"/>
  <c r="K18" i="2"/>
  <c r="J18" i="2"/>
  <c r="L35" i="2"/>
  <c r="K35" i="2"/>
  <c r="J35" i="2"/>
  <c r="J16" i="2"/>
  <c r="K78" i="2"/>
  <c r="J78" i="2"/>
  <c r="M7" i="1"/>
  <c r="I84" i="2" l="1"/>
  <c r="G84" i="2" s="1"/>
  <c r="I52" i="2"/>
  <c r="G52" i="2" s="1"/>
  <c r="I54" i="2"/>
  <c r="G54" i="2" s="1"/>
  <c r="I12" i="2"/>
  <c r="G12" i="2" s="1"/>
  <c r="I56" i="2"/>
  <c r="G56" i="2" s="1"/>
  <c r="I64" i="2"/>
  <c r="G64" i="2" s="1"/>
  <c r="I5" i="2"/>
  <c r="G5" i="2" s="1"/>
  <c r="I73" i="2"/>
  <c r="G73" i="2" s="1"/>
  <c r="I38" i="2"/>
  <c r="G38" i="2" s="1"/>
  <c r="I87" i="2"/>
  <c r="G87" i="2" s="1"/>
  <c r="I11" i="2"/>
  <c r="G11" i="2" s="1"/>
  <c r="I61" i="2"/>
  <c r="G61" i="2" s="1"/>
  <c r="I63" i="2"/>
  <c r="G63" i="2" s="1"/>
  <c r="I46" i="2"/>
  <c r="G46" i="2" s="1"/>
  <c r="I53" i="2"/>
  <c r="G53" i="2" s="1"/>
  <c r="I55" i="2"/>
  <c r="G55" i="2" s="1"/>
  <c r="I83" i="2"/>
  <c r="G83" i="2" s="1"/>
  <c r="I24" i="2"/>
  <c r="G24" i="2" s="1"/>
  <c r="I60" i="2"/>
  <c r="G60" i="2" s="1"/>
  <c r="I79" i="2"/>
  <c r="G79" i="2" s="1"/>
  <c r="I90" i="2"/>
  <c r="G90" i="2" s="1"/>
  <c r="I15" i="2"/>
  <c r="G15" i="2" s="1"/>
  <c r="I70" i="2"/>
  <c r="G70" i="2" s="1"/>
  <c r="I36" i="2"/>
  <c r="G36" i="2" s="1"/>
  <c r="I62" i="2"/>
  <c r="G62" i="2" s="1"/>
  <c r="I6" i="2"/>
  <c r="G6" i="2" s="1"/>
  <c r="I89" i="2"/>
  <c r="G89" i="2" s="1"/>
  <c r="I26" i="2"/>
  <c r="G26" i="2" s="1"/>
  <c r="I85" i="2"/>
  <c r="G85" i="2" s="1"/>
  <c r="I10" i="2"/>
  <c r="G10" i="2" s="1"/>
  <c r="I66" i="2"/>
  <c r="G66" i="2" s="1"/>
  <c r="I32" i="2"/>
  <c r="G32" i="2" s="1"/>
  <c r="I65" i="2"/>
  <c r="G65" i="2" s="1"/>
  <c r="I81" i="2"/>
  <c r="G81" i="2" s="1"/>
  <c r="I71" i="2"/>
  <c r="G71" i="2" s="1"/>
  <c r="I14" i="2"/>
  <c r="G14" i="2" s="1"/>
  <c r="I49" i="2"/>
  <c r="G49" i="2" s="1"/>
  <c r="I86" i="2"/>
  <c r="G86" i="2" s="1"/>
  <c r="I37" i="2"/>
  <c r="G37" i="2" s="1"/>
  <c r="I67" i="2"/>
  <c r="G67" i="2" s="1"/>
  <c r="I42" i="2"/>
  <c r="G42" i="2" s="1"/>
  <c r="I47" i="2"/>
  <c r="G47" i="2" s="1"/>
  <c r="I44" i="2"/>
  <c r="G44" i="2" s="1"/>
  <c r="I51" i="2"/>
  <c r="G51" i="2" s="1"/>
  <c r="I20" i="2"/>
  <c r="G20" i="2" s="1"/>
  <c r="I28" i="2"/>
  <c r="G28" i="2" s="1"/>
  <c r="I25" i="2"/>
  <c r="G25" i="2" s="1"/>
  <c r="I59" i="2"/>
  <c r="G59" i="2" s="1"/>
  <c r="I74" i="2"/>
  <c r="G74" i="2" s="1"/>
  <c r="I7" i="2"/>
  <c r="G7" i="2" s="1"/>
  <c r="I21" i="2"/>
  <c r="G21" i="2" s="1"/>
  <c r="I76" i="2"/>
  <c r="G76" i="2" s="1"/>
  <c r="I40" i="2"/>
  <c r="G40" i="2" s="1"/>
  <c r="I8" i="2"/>
  <c r="G8" i="2" s="1"/>
  <c r="I77" i="2"/>
  <c r="G77" i="2" s="1"/>
  <c r="I45" i="2"/>
  <c r="G45" i="2" s="1"/>
  <c r="I13" i="2"/>
  <c r="G13" i="2" s="1"/>
  <c r="I50" i="2"/>
  <c r="G50" i="2" s="1"/>
  <c r="I19" i="2"/>
  <c r="G19" i="2" s="1"/>
  <c r="I80" i="2"/>
  <c r="G80" i="2" s="1"/>
  <c r="I78" i="2"/>
  <c r="G78" i="2" s="1"/>
  <c r="I72" i="2"/>
  <c r="G72" i="2" s="1"/>
  <c r="I88" i="2"/>
  <c r="G88" i="2" s="1"/>
  <c r="I69" i="2"/>
  <c r="G69" i="2" s="1"/>
  <c r="I39" i="2"/>
  <c r="G39" i="2" s="1"/>
  <c r="I58" i="2"/>
  <c r="G58" i="2" s="1"/>
  <c r="I16" i="2"/>
  <c r="G16" i="2" s="1"/>
  <c r="I57" i="2"/>
  <c r="G57" i="2" s="1"/>
  <c r="I75" i="2"/>
  <c r="G75" i="2" s="1"/>
  <c r="I22" i="2"/>
  <c r="G22" i="2" s="1"/>
  <c r="I31" i="2"/>
  <c r="G31" i="2" s="1"/>
  <c r="I27" i="2"/>
  <c r="G27" i="2" s="1"/>
  <c r="I23" i="2"/>
  <c r="G23" i="2" s="1"/>
  <c r="I48" i="2"/>
  <c r="G48" i="2" s="1"/>
  <c r="I29" i="2"/>
  <c r="G29" i="2" s="1"/>
  <c r="I30" i="2"/>
  <c r="G30" i="2" s="1"/>
  <c r="I41" i="2"/>
  <c r="G41" i="2" s="1"/>
  <c r="I9" i="2"/>
  <c r="G9" i="2" s="1"/>
  <c r="I17" i="2"/>
  <c r="G17" i="2" s="1"/>
  <c r="I35" i="2"/>
  <c r="G35" i="2" s="1"/>
  <c r="I34" i="2"/>
  <c r="G34" i="2" s="1"/>
  <c r="I4" i="2"/>
  <c r="G4" i="2" s="1"/>
  <c r="I82" i="2"/>
  <c r="G82" i="2" s="1"/>
  <c r="I18" i="2"/>
  <c r="G18" i="2" s="1"/>
  <c r="I33" i="2"/>
  <c r="G33" i="2" s="1"/>
  <c r="I68" i="2"/>
  <c r="G68" i="2" s="1"/>
  <c r="N2" i="1"/>
  <c r="H29" i="2" l="1"/>
  <c r="H64" i="2"/>
  <c r="H27" i="2"/>
  <c r="H90" i="2"/>
  <c r="H44" i="2"/>
  <c r="H75" i="2"/>
  <c r="H18" i="2"/>
  <c r="H53" i="2"/>
  <c r="H62" i="2"/>
  <c r="H35" i="2"/>
  <c r="H43" i="2"/>
  <c r="H59" i="2"/>
  <c r="H37" i="2"/>
  <c r="H19" i="2"/>
  <c r="H23" i="2"/>
  <c r="H10" i="2"/>
  <c r="H70" i="2"/>
  <c r="H34" i="2"/>
  <c r="H84" i="2"/>
  <c r="H60" i="2"/>
  <c r="H11" i="2"/>
  <c r="H89" i="2"/>
  <c r="H61" i="2"/>
  <c r="H48" i="2"/>
  <c r="H31" i="2"/>
  <c r="H68" i="2"/>
  <c r="H52" i="2"/>
  <c r="H21" i="2"/>
  <c r="H46" i="2"/>
  <c r="H50" i="2"/>
  <c r="H69" i="2"/>
  <c r="H6" i="2"/>
  <c r="H26" i="2"/>
  <c r="H7" i="2"/>
  <c r="H38" i="2"/>
  <c r="H49" i="2"/>
  <c r="H9" i="2"/>
  <c r="H81" i="2"/>
  <c r="H66" i="2"/>
  <c r="H40" i="2"/>
  <c r="H20" i="2"/>
  <c r="H42" i="2"/>
  <c r="H25" i="2"/>
  <c r="H85" i="2"/>
  <c r="H13" i="2"/>
  <c r="H86" i="2"/>
  <c r="H55" i="2"/>
  <c r="H79" i="2"/>
  <c r="H88" i="2"/>
  <c r="H16" i="2"/>
  <c r="H17" i="2"/>
  <c r="H80" i="2"/>
  <c r="H73" i="2"/>
  <c r="H54" i="2"/>
  <c r="H33" i="2"/>
  <c r="H74" i="2"/>
  <c r="H71" i="2"/>
  <c r="H45" i="2"/>
  <c r="H32" i="2"/>
  <c r="H5" i="2"/>
  <c r="H12" i="2"/>
  <c r="H63" i="2"/>
  <c r="H58" i="2"/>
  <c r="H15" i="2"/>
  <c r="H30" i="2"/>
  <c r="H28" i="2"/>
  <c r="H56" i="2"/>
  <c r="H39" i="2"/>
  <c r="H14" i="2"/>
  <c r="H22" i="2"/>
  <c r="H47" i="2"/>
  <c r="H67" i="2"/>
  <c r="H78" i="2"/>
  <c r="H72" i="2"/>
  <c r="H57" i="2"/>
  <c r="H51" i="2"/>
  <c r="H24" i="2"/>
  <c r="H82" i="2"/>
  <c r="H36" i="2"/>
  <c r="H41" i="2"/>
  <c r="H83" i="2"/>
  <c r="H65" i="2"/>
  <c r="H87" i="2"/>
  <c r="H4" i="2"/>
  <c r="H8" i="2"/>
  <c r="H77" i="2"/>
  <c r="H76" i="2"/>
</calcChain>
</file>

<file path=xl/comments1.xml><?xml version="1.0" encoding="utf-8"?>
<comments xmlns="http://schemas.openxmlformats.org/spreadsheetml/2006/main">
  <authors>
    <author>Tyler Devilbiss</author>
  </authors>
  <commentList>
    <comment ref="E3" authorId="0" shape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14"/>
            <color indexed="81"/>
            <rFont val="Tahoma"/>
            <family val="2"/>
          </rPr>
          <t>Insert  a capital M or W for gender.</t>
        </r>
      </text>
    </comment>
    <comment ref="J3" authorId="0" shapeId="0">
      <text>
        <r>
          <rPr>
            <b/>
            <sz val="14"/>
            <color indexed="81"/>
            <rFont val="Tahoma"/>
            <family val="2"/>
          </rPr>
          <t>Tyler Devilbiss:</t>
        </r>
        <r>
          <rPr>
            <sz val="14"/>
            <color indexed="81"/>
            <rFont val="Tahoma"/>
            <family val="2"/>
          </rPr>
          <t xml:space="preserve">
to enter score use =Z"climb code" (A, DD…) To add flash bonus use *F
EX: =ZA*F for flashed climb A</t>
        </r>
      </text>
    </comment>
  </commentList>
</comments>
</file>

<file path=xl/comments2.xml><?xml version="1.0" encoding="utf-8"?>
<comments xmlns="http://schemas.openxmlformats.org/spreadsheetml/2006/main">
  <authors>
    <author>Tyler Devilbiss</author>
  </authors>
  <commentList>
    <comment ref="M5" authorId="0" shapeId="0">
      <text>
        <r>
          <rPr>
            <b/>
            <sz val="9"/>
            <color indexed="81"/>
            <rFont val="Tahoma"/>
            <family val="2"/>
          </rPr>
          <t>Tyler Devilbiss:</t>
        </r>
        <r>
          <rPr>
            <sz val="9"/>
            <color indexed="81"/>
            <rFont val="Tahoma"/>
            <family val="2"/>
          </rPr>
          <t xml:space="preserve">
These values are the top 5 climbs' points added together that are contained within the particular division.</t>
        </r>
      </text>
    </comment>
  </commentList>
</comments>
</file>

<file path=xl/sharedStrings.xml><?xml version="1.0" encoding="utf-8"?>
<sst xmlns="http://schemas.openxmlformats.org/spreadsheetml/2006/main" count="815" uniqueCount="225">
  <si>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</si>
  <si>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</si>
  <si>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</si>
  <si>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</si>
  <si>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</si>
  <si>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</si>
  <si>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</si>
  <si>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</si>
  <si>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</si>
  <si>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</si>
  <si>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</si>
  <si>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</si>
  <si>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</si>
  <si>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</si>
  <si>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</si>
  <si>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</si>
  <si>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</si>
  <si>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</si>
  <si>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</si>
  <si>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</si>
  <si>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</si>
  <si>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</si>
  <si>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</si>
  <si>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</si>
  <si>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</si>
  <si>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</si>
  <si>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AA</t>
  </si>
  <si>
    <t>BB</t>
  </si>
  <si>
    <t>CC</t>
  </si>
  <si>
    <t>DD</t>
  </si>
  <si>
    <t>EE</t>
  </si>
  <si>
    <t>FF</t>
  </si>
  <si>
    <t>GG</t>
  </si>
  <si>
    <t>HH</t>
  </si>
  <si>
    <t>II</t>
  </si>
  <si>
    <t>JJ</t>
  </si>
  <si>
    <t>KK</t>
  </si>
  <si>
    <t>LL</t>
  </si>
  <si>
    <t>MM</t>
  </si>
  <si>
    <t>NN</t>
  </si>
  <si>
    <t>OO</t>
  </si>
  <si>
    <t>PP</t>
  </si>
  <si>
    <t>QQ</t>
  </si>
  <si>
    <t>RR</t>
  </si>
  <si>
    <t>SS</t>
  </si>
  <si>
    <t>TT</t>
  </si>
  <si>
    <t>UU</t>
  </si>
  <si>
    <t>VV</t>
  </si>
  <si>
    <t>WW</t>
  </si>
  <si>
    <t>XX</t>
  </si>
  <si>
    <t>YY</t>
  </si>
  <si>
    <t>ZZ</t>
  </si>
  <si>
    <t>School</t>
  </si>
  <si>
    <t>Climber Name</t>
  </si>
  <si>
    <t>Score Total</t>
  </si>
  <si>
    <t>PCCS Official Score Sheet</t>
  </si>
  <si>
    <t>Climb Label</t>
  </si>
  <si>
    <t>Point Value</t>
  </si>
  <si>
    <t>Grade</t>
  </si>
  <si>
    <t>Flash value, F</t>
  </si>
  <si>
    <t>Schools</t>
  </si>
  <si>
    <t>Code</t>
  </si>
  <si>
    <t>Division</t>
  </si>
  <si>
    <t>Divisions</t>
  </si>
  <si>
    <t>MA</t>
  </si>
  <si>
    <t>MI</t>
  </si>
  <si>
    <t>MB</t>
  </si>
  <si>
    <t>WA</t>
  </si>
  <si>
    <t>WI</t>
  </si>
  <si>
    <t>WB</t>
  </si>
  <si>
    <t>Max Points</t>
  </si>
  <si>
    <t>Gender Codes</t>
  </si>
  <si>
    <t>Male</t>
  </si>
  <si>
    <t>Female</t>
  </si>
  <si>
    <t>Enter Climbs From Here Over ---&gt;</t>
  </si>
  <si>
    <t>Overall Ranking</t>
  </si>
  <si>
    <t>Gender, M/W</t>
  </si>
  <si>
    <t>Row Labels</t>
  </si>
  <si>
    <t>Paid</t>
  </si>
  <si>
    <t>Sum of Score Total</t>
  </si>
  <si>
    <t>(All)</t>
  </si>
  <si>
    <t>V0-V2</t>
  </si>
  <si>
    <t>V3-V4</t>
  </si>
  <si>
    <t>V5+</t>
  </si>
  <si>
    <t>Division-1</t>
  </si>
  <si>
    <t>V0-V1</t>
  </si>
  <si>
    <t>V2-V3</t>
  </si>
  <si>
    <t>V4+</t>
  </si>
  <si>
    <t>AAA</t>
  </si>
  <si>
    <t>BBB</t>
  </si>
  <si>
    <t>CCC</t>
  </si>
  <si>
    <t>DDD</t>
  </si>
  <si>
    <t>EEE</t>
  </si>
  <si>
    <t>FFF</t>
  </si>
  <si>
    <t>GGG</t>
  </si>
  <si>
    <t>HHH</t>
  </si>
  <si>
    <t>III</t>
  </si>
  <si>
    <t>JJJ</t>
  </si>
  <si>
    <t>KKK</t>
  </si>
  <si>
    <t>LLL</t>
  </si>
  <si>
    <t>MMM</t>
  </si>
  <si>
    <t>NNN</t>
  </si>
  <si>
    <t>OOO</t>
  </si>
  <si>
    <t>PPP</t>
  </si>
  <si>
    <t>QQQ</t>
  </si>
  <si>
    <t>RRR</t>
  </si>
  <si>
    <t>SSS</t>
  </si>
  <si>
    <t>TTT</t>
  </si>
  <si>
    <t>UUU</t>
  </si>
  <si>
    <t>VVV</t>
  </si>
  <si>
    <t>WWW</t>
  </si>
  <si>
    <t>XXX</t>
  </si>
  <si>
    <t>YYY</t>
  </si>
  <si>
    <t>ZZZ</t>
  </si>
  <si>
    <t>DU</t>
  </si>
  <si>
    <t>MARIO ARNONE</t>
  </si>
  <si>
    <t>GREG PAULUKINAS</t>
  </si>
  <si>
    <t>JEFF MOSTYN</t>
  </si>
  <si>
    <t>GREG BURNS</t>
  </si>
  <si>
    <t>ADAM FALCONE</t>
  </si>
  <si>
    <t>ETHAN BITTON</t>
  </si>
  <si>
    <t>JUSTIN MCCARTHEY</t>
  </si>
  <si>
    <t>IAN PROUD</t>
  </si>
  <si>
    <t>SEAN CHERIAN</t>
  </si>
  <si>
    <t>EVAN LONGACRE</t>
  </si>
  <si>
    <t>JENNIFER SANVILLE</t>
  </si>
  <si>
    <t>ALLIE WALT</t>
  </si>
  <si>
    <t>IUP</t>
  </si>
  <si>
    <t>ALEC MANOUGIAN</t>
  </si>
  <si>
    <t>UD</t>
  </si>
  <si>
    <t>BEN GOTTHOLD</t>
  </si>
  <si>
    <t>BRANDON ANDERS</t>
  </si>
  <si>
    <t>SAMANTHA PROSCENO</t>
  </si>
  <si>
    <t>JOHN HOWE</t>
  </si>
  <si>
    <t>KATELYN DOWLING</t>
  </si>
  <si>
    <t>MIKE ZITO</t>
  </si>
  <si>
    <t>JEREMEY BUCHSBAUM</t>
  </si>
  <si>
    <t>ER3YN GAUDIO</t>
  </si>
  <si>
    <t>ANDRE BURTON</t>
  </si>
  <si>
    <t>SAM MARDER</t>
  </si>
  <si>
    <t>JAKE RUDELSON</t>
  </si>
  <si>
    <t>CHANDLER BENSONREED</t>
  </si>
  <si>
    <t>ROY AIZEN</t>
  </si>
  <si>
    <t>PETE KEMERY</t>
  </si>
  <si>
    <t>TU</t>
  </si>
  <si>
    <t>MACKENZIE ABERNATHY</t>
  </si>
  <si>
    <t>BRIDGET IVKOVICH</t>
  </si>
  <si>
    <t>KAT</t>
  </si>
  <si>
    <t>MIRANDA KELLY</t>
  </si>
  <si>
    <t>DAN PAREDES</t>
  </si>
  <si>
    <t>FAYADH ALSADIQ</t>
  </si>
  <si>
    <t>AUSTIN HANBY</t>
  </si>
  <si>
    <t>MATT LOPIANO</t>
  </si>
  <si>
    <t>MATT SCHMITTLE</t>
  </si>
  <si>
    <t>KEN CHANG</t>
  </si>
  <si>
    <t>XABIER SAAVEDRA</t>
  </si>
  <si>
    <t>LAURA DONOHUE</t>
  </si>
  <si>
    <t>JOSEPH DISALVO</t>
  </si>
  <si>
    <t>CHRISTOPHER MACCO</t>
  </si>
  <si>
    <t>COOPER ZURAD</t>
  </si>
  <si>
    <t>SEAN OCONNOR</t>
  </si>
  <si>
    <t>Column Labels</t>
  </si>
  <si>
    <t>Grand Total</t>
  </si>
  <si>
    <t>BEGINNER</t>
  </si>
  <si>
    <t>INTERMEDIATE</t>
  </si>
  <si>
    <t>ADVANCE</t>
  </si>
  <si>
    <t>DREXEL</t>
  </si>
  <si>
    <t>TEMPLE</t>
  </si>
  <si>
    <t>DELEWARE</t>
  </si>
  <si>
    <t>WOMEN'S ADVANCE</t>
  </si>
  <si>
    <t>MEN'S ADVANCE</t>
  </si>
  <si>
    <t>WOMEN'S INTERMEDIATE</t>
  </si>
  <si>
    <t>MEN'S INTERMEDIATE</t>
  </si>
  <si>
    <t>WOMEN'S BEGINNER</t>
  </si>
  <si>
    <t>MEN'S BEGINNER</t>
  </si>
  <si>
    <t>MORGAN HART</t>
  </si>
  <si>
    <t>ANDREW MURPHEY</t>
  </si>
  <si>
    <t>TYLER DEVILBISS</t>
  </si>
  <si>
    <t>LIZ LONG</t>
  </si>
  <si>
    <t>ERIC LAM</t>
  </si>
  <si>
    <t>SAMMIE WERNER</t>
  </si>
  <si>
    <t>STEVEN DUONG</t>
  </si>
  <si>
    <t>CHRISTINE ALLEN-BLANCHETTE</t>
  </si>
  <si>
    <t>PENN</t>
  </si>
  <si>
    <t>RYAN SAGER</t>
  </si>
  <si>
    <t>ALISON MINEROVIC</t>
  </si>
  <si>
    <t>BO MESSIER</t>
  </si>
  <si>
    <t>RICK EASTBURN</t>
  </si>
  <si>
    <t>JACOB TANNAHILL</t>
  </si>
  <si>
    <t>MORGAN SIEGMANN</t>
  </si>
  <si>
    <t>MARK KOH</t>
  </si>
  <si>
    <t>KORY BETH ANCONA</t>
  </si>
  <si>
    <t>VINCE SPIGONAERDO</t>
  </si>
  <si>
    <t>DAVID KASSIE</t>
  </si>
  <si>
    <t>JENNESYS AVILES</t>
  </si>
  <si>
    <t>CHRISTOPHER CHAN</t>
  </si>
  <si>
    <t>JASON FERNANDES</t>
  </si>
  <si>
    <t>MIKE SANGILLO</t>
  </si>
  <si>
    <t>JEREMY OSTROFSKY</t>
  </si>
  <si>
    <t>ZUZANNA WOJCIESZAK</t>
  </si>
  <si>
    <t>ALEX NADOLISHNY</t>
  </si>
  <si>
    <t>DREW FROHN</t>
  </si>
  <si>
    <t>KATHERINE ROGAN</t>
  </si>
  <si>
    <t>WU</t>
  </si>
  <si>
    <t>TREVOR IRWIN</t>
  </si>
  <si>
    <t>RYAN RUE</t>
  </si>
  <si>
    <t>MARKO DURICA</t>
  </si>
  <si>
    <t>MICHAEL WADSLEY</t>
  </si>
  <si>
    <t>ASHLEY XU</t>
  </si>
  <si>
    <t>ADRIENNE JUARASCIO</t>
  </si>
  <si>
    <t>GRACE ICENOGLE</t>
  </si>
  <si>
    <t>MIKE CUNNINGHAM</t>
  </si>
  <si>
    <t>PEDRAM NIKNAM</t>
  </si>
  <si>
    <t>ZIP ALEXANDER</t>
  </si>
  <si>
    <t>SCOTT JEFFERS</t>
  </si>
  <si>
    <t>JACK WILKE</t>
  </si>
  <si>
    <t>IAN RILEY</t>
  </si>
  <si>
    <t>CHRISTINE ALLEN=BLANCHETTE</t>
  </si>
  <si>
    <t xml:space="preserve">RYAN SAGER </t>
  </si>
  <si>
    <t>DANIEL SHANKS</t>
  </si>
  <si>
    <t>KRISTAPS KANCANS</t>
  </si>
  <si>
    <t>PHIL MINSKER</t>
  </si>
  <si>
    <t>KAREN YEE</t>
  </si>
  <si>
    <t>MIKAELA WEGERHOFF</t>
  </si>
  <si>
    <t>XAVIER SAAVEDRA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</si>
</sst>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36"/>
      <color theme="0"/>
      <name val="Berlin Sans FB Demi"/>
      <family val="2"/>
    </font>
    <font>
      <sz val="16"/>
      <color rgb="FF000000"/>
      <name val="Calibri"/>
      <family val="2"/>
      <scheme val="minor"/>
    </font>
    <font>
      <b/>
      <sz val="14"/>
      <color indexed="81"/>
      <name val="Tahoma"/>
      <family val="2"/>
    </font>
    <font>
      <sz val="14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0" xfId="0" applyProtection="1">
      <protection locked="0"/>
    </xf>
    <xf numFmtId="0" fontId="2" fillId="0" borderId="1" xfId="0" applyFont="1" applyBorder="1" applyAlignment="1" applyProtection="1">
      <alignment horizontal="left"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" xfId="0" applyFont="1" applyBorder="1" applyProtection="1">
      <protection locked="0"/>
    </xf>
    <xf numFmtId="0" fontId="0" fillId="0" borderId="0" xfId="0" applyProtection="1"/>
    <xf numFmtId="0" fontId="0" fillId="0" borderId="0" xfId="0" pivotButton="1"/>
    <xf numFmtId="0" fontId="1" fillId="0" borderId="2" xfId="0" applyFont="1" applyFill="1" applyBorder="1" applyProtection="1">
      <protection locked="0"/>
    </xf>
    <xf numFmtId="0" fontId="1" fillId="0" borderId="0" xfId="0" applyFont="1" applyBorder="1"/>
    <xf numFmtId="0" fontId="1" fillId="0" borderId="0" xfId="0" applyFont="1"/>
    <xf numFmtId="0" fontId="7" fillId="0" borderId="0" xfId="0" applyFont="1" applyBorder="1"/>
    <xf numFmtId="0" fontId="7" fillId="0" borderId="0" xfId="0" applyFont="1" applyBorder="1" applyAlignment="1"/>
    <xf numFmtId="0" fontId="1" fillId="0" borderId="0" xfId="0" applyFont="1" applyBorder="1" applyAlignment="1"/>
    <xf numFmtId="0" fontId="1" fillId="0" borderId="5" xfId="0" applyFont="1" applyFill="1" applyBorder="1" applyProtection="1">
      <protection locked="0"/>
    </xf>
    <xf numFmtId="0" fontId="1" fillId="0" borderId="7" xfId="0" applyFont="1" applyFill="1" applyBorder="1" applyProtection="1">
      <protection locked="0"/>
    </xf>
    <xf numFmtId="0" fontId="1" fillId="0" borderId="8" xfId="0" applyFont="1" applyFill="1" applyBorder="1" applyProtection="1">
      <protection locked="0"/>
    </xf>
    <xf numFmtId="0" fontId="1" fillId="0" borderId="10" xfId="0" applyFont="1" applyFill="1" applyBorder="1" applyProtection="1">
      <protection locked="0"/>
    </xf>
    <xf numFmtId="0" fontId="1" fillId="0" borderId="11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0" fillId="0" borderId="1" xfId="0" applyBorder="1" applyProtection="1"/>
    <xf numFmtId="0" fontId="0" fillId="0" borderId="1" xfId="0" applyBorder="1" applyAlignment="1" applyProtection="1">
      <alignment horizontal="center"/>
    </xf>
    <xf numFmtId="9" fontId="0" fillId="0" borderId="0" xfId="0" applyNumberFormat="1" applyAlignment="1" applyProtection="1">
      <alignment horizontal="center"/>
    </xf>
    <xf numFmtId="0" fontId="3" fillId="0" borderId="1" xfId="0" applyFont="1" applyBorder="1" applyProtection="1"/>
    <xf numFmtId="0" fontId="0" fillId="0" borderId="1" xfId="0" applyBorder="1" applyAlignment="1" applyProtection="1">
      <alignment horizontal="center" vertical="center"/>
    </xf>
    <xf numFmtId="0" fontId="3" fillId="0" borderId="0" xfId="0" applyFont="1" applyBorder="1" applyAlignment="1" applyProtection="1"/>
    <xf numFmtId="0" fontId="0" fillId="0" borderId="0" xfId="0" applyBorder="1" applyAlignment="1" applyProtection="1">
      <alignment horizontal="center"/>
    </xf>
    <xf numFmtId="0" fontId="2" fillId="0" borderId="2" xfId="0" applyFont="1" applyBorder="1" applyAlignment="1" applyProtection="1">
      <alignment horizontal="left" vertical="center"/>
      <protection locked="0"/>
    </xf>
    <xf numFmtId="0" fontId="1" fillId="0" borderId="2" xfId="0" applyFont="1" applyBorder="1" applyProtection="1">
      <protection locked="0"/>
    </xf>
    <xf numFmtId="0" fontId="2" fillId="0" borderId="10" xfId="0" applyFont="1" applyBorder="1" applyAlignment="1" applyProtection="1">
      <alignment horizontal="left" vertical="center"/>
      <protection locked="0"/>
    </xf>
    <xf numFmtId="0" fontId="3" fillId="0" borderId="1" xfId="0" applyFont="1" applyBorder="1" applyAlignment="1" applyProtection="1">
      <alignment horizontal="center"/>
    </xf>
    <xf numFmtId="1" fontId="0" fillId="0" borderId="1" xfId="0" applyNumberFormat="1" applyBorder="1" applyAlignment="1" applyProtection="1">
      <alignment horizontal="center" vertical="center"/>
    </xf>
    <xf numFmtId="1" fontId="0" fillId="0" borderId="1" xfId="0" applyNumberFormat="1" applyBorder="1" applyProtection="1"/>
    <xf numFmtId="1" fontId="0" fillId="0" borderId="1" xfId="0" applyNumberFormat="1" applyFill="1" applyBorder="1" applyAlignment="1" applyProtection="1">
      <alignment horizontal="center" vertical="center"/>
    </xf>
    <xf numFmtId="0" fontId="0" fillId="0" borderId="1" xfId="0" applyFill="1" applyBorder="1" applyProtection="1"/>
    <xf numFmtId="0" fontId="6" fillId="0" borderId="1" xfId="0" applyFont="1" applyBorder="1" applyProtection="1">
      <protection locked="0"/>
    </xf>
    <xf numFmtId="0" fontId="6" fillId="0" borderId="1" xfId="0" applyFont="1" applyBorder="1" applyAlignment="1" applyProtection="1">
      <alignment horizontal="center" vertical="center"/>
      <protection locked="0"/>
    </xf>
    <xf numFmtId="0" fontId="6" fillId="0" borderId="6" xfId="0" applyFont="1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9" fillId="0" borderId="1" xfId="0" applyFont="1" applyBorder="1" applyAlignment="1" applyProtection="1">
      <alignment horizontal="left" readingOrder="1"/>
      <protection locked="0"/>
    </xf>
    <xf numFmtId="0" fontId="9" fillId="0" borderId="1" xfId="0" applyFont="1" applyBorder="1" applyAlignment="1" applyProtection="1">
      <alignment horizontal="left" wrapText="1" readingOrder="1"/>
      <protection locked="0"/>
    </xf>
    <xf numFmtId="0" fontId="2" fillId="0" borderId="5" xfId="0" applyFont="1" applyBorder="1" applyAlignment="1" applyProtection="1">
      <alignment horizontal="left"/>
      <protection locked="0"/>
    </xf>
    <xf numFmtId="0" fontId="2" fillId="0" borderId="1" xfId="0" applyFont="1" applyBorder="1" applyAlignment="1" applyProtection="1">
      <alignment horizontal="left"/>
      <protection locked="0"/>
    </xf>
    <xf numFmtId="0" fontId="1" fillId="0" borderId="9" xfId="0" applyFont="1" applyBorder="1" applyProtection="1">
      <protection locked="0"/>
    </xf>
    <xf numFmtId="0" fontId="9" fillId="0" borderId="11" xfId="0" applyFont="1" applyBorder="1" applyAlignment="1" applyProtection="1">
      <alignment horizontal="left" wrapText="1" readingOrder="1"/>
      <protection locked="0"/>
    </xf>
    <xf numFmtId="0" fontId="2" fillId="0" borderId="11" xfId="0" applyFont="1" applyBorder="1" applyAlignment="1" applyProtection="1">
      <alignment horizontal="left" vertical="center"/>
      <protection locked="0"/>
    </xf>
    <xf numFmtId="1" fontId="0" fillId="0" borderId="1" xfId="0" applyNumberFormat="1" applyBorder="1" applyAlignment="1" applyProtection="1">
      <alignment horizontal="center"/>
    </xf>
    <xf numFmtId="0" fontId="0" fillId="0" borderId="0" xfId="0" applyAlignment="1">
      <alignment horizontal="left"/>
    </xf>
    <xf numFmtId="0" fontId="0" fillId="0" borderId="0" xfId="0" applyNumberFormat="1"/>
    <xf numFmtId="0" fontId="0" fillId="0" borderId="0" xfId="0" applyAlignment="1">
      <alignment horizontal="left" indent="1"/>
    </xf>
    <xf numFmtId="0" fontId="1" fillId="0" borderId="14" xfId="0" applyFont="1" applyBorder="1"/>
    <xf numFmtId="0" fontId="1" fillId="0" borderId="15" xfId="0" applyFont="1" applyBorder="1"/>
    <xf numFmtId="0" fontId="1" fillId="0" borderId="16" xfId="0" applyFont="1" applyBorder="1"/>
    <xf numFmtId="0" fontId="1" fillId="0" borderId="17" xfId="0" applyFont="1" applyBorder="1"/>
    <xf numFmtId="0" fontId="1" fillId="0" borderId="1" xfId="0" applyFont="1" applyBorder="1"/>
    <xf numFmtId="0" fontId="3" fillId="0" borderId="0" xfId="0" applyFont="1"/>
    <xf numFmtId="0" fontId="2" fillId="0" borderId="13" xfId="0" applyFont="1" applyBorder="1" applyAlignment="1" applyProtection="1">
      <alignment horizontal="left" vertical="center"/>
      <protection locked="0"/>
    </xf>
    <xf numFmtId="0" fontId="1" fillId="3" borderId="1" xfId="0" applyFont="1" applyFill="1" applyBorder="1"/>
    <xf numFmtId="0" fontId="6" fillId="0" borderId="1" xfId="0" applyFont="1" applyBorder="1" applyAlignment="1" applyProtection="1">
      <alignment horizontal="left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51027</xdr:colOff>
      <xdr:row>0</xdr:row>
      <xdr:rowOff>96950</xdr:rowOff>
    </xdr:from>
    <xdr:to>
      <xdr:col>11</xdr:col>
      <xdr:colOff>697027</xdr:colOff>
      <xdr:row>5</xdr:row>
      <xdr:rowOff>204107</xdr:rowOff>
    </xdr:to>
    <xdr:sp macro="" textlink="">
      <xdr:nvSpPr>
        <xdr:cNvPr id="2" name="TextBox 1"/>
        <xdr:cNvSpPr txBox="1"/>
      </xdr:nvSpPr>
      <xdr:spPr>
        <a:xfrm>
          <a:off x="8215313" y="96950"/>
          <a:ext cx="1748178" cy="14678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1100"/>
            <a:t>click</a:t>
          </a:r>
          <a:r>
            <a:rPr lang="en-US" sz="1100" baseline="0"/>
            <a:t> on the table to the left</a:t>
          </a:r>
        </a:p>
        <a:p>
          <a:endParaRPr lang="en-US" sz="1100" baseline="0"/>
        </a:p>
        <a:p>
          <a:r>
            <a:rPr lang="en-US" sz="1100" baseline="0"/>
            <a:t>select the options tab that appears at the top of the document</a:t>
          </a:r>
        </a:p>
        <a:p>
          <a:endParaRPr lang="en-US" sz="1100" baseline="0"/>
        </a:p>
        <a:p>
          <a:r>
            <a:rPr lang="en-US" sz="1100" baseline="0"/>
            <a:t>select refresh to access most recent results</a:t>
          </a:r>
          <a:endParaRPr lang="en-US" sz="1100"/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Tyler" refreshedDate="42060.649895023147" createdVersion="3" refreshedVersion="5" minRefreshableVersion="3" recordCount="87">
  <cacheSource type="worksheet">
    <worksheetSource ref="B3:I90" sheet="Climber Records"/>
  </cacheSource>
  <cacheFields count="8">
    <cacheField name="Paid" numFmtId="0">
      <sharedItems containsBlank="1" count="5">
        <s v="Y"/>
        <s v="KAT"/>
        <m u="1"/>
        <s v="NO" u="1"/>
        <s v="YES" u="1"/>
      </sharedItems>
    </cacheField>
    <cacheField name="School" numFmtId="0">
      <sharedItems containsBlank="1" count="14">
        <s v="DU"/>
        <s v="UD"/>
        <s v="IUP"/>
        <s v="TU"/>
        <s v="PENN"/>
        <s v="WU"/>
        <m u="1"/>
        <s v="WCU" u="1"/>
        <s v="PU" u="1"/>
        <s v="NJIT" u="1"/>
        <s v="BCC" u="1"/>
        <s v="UPENN" u="1"/>
        <s v="NA" u="1"/>
        <s v="UDEL" u="1"/>
      </sharedItems>
    </cacheField>
    <cacheField name="Division-1" numFmtId="0">
      <sharedItems containsBlank="1" count="8">
        <s v="MB"/>
        <s v="WA"/>
        <s v="MA"/>
        <s v="MI"/>
        <s v="WI"/>
        <s v="WB"/>
        <m u="1"/>
        <s v="AI" u="1"/>
      </sharedItems>
    </cacheField>
    <cacheField name="Gender, M/W" numFmtId="0">
      <sharedItems containsBlank="1" count="3">
        <s v="M"/>
        <s v="W"/>
        <m u="1"/>
      </sharedItems>
    </cacheField>
    <cacheField name="Climber Name" numFmtId="0">
      <sharedItems containsBlank="1" count="130">
        <s v="ADAM FALCONE"/>
        <s v="ADRIENNE JUARASCIO"/>
        <s v="ALEC MANOUGIAN"/>
        <s v="ALEX NADOLISHNY"/>
        <s v="ALISON MINEROVIC"/>
        <s v="ALLIE WALT"/>
        <s v="ANDRE BURTON"/>
        <s v="ANDREW MURPHEY"/>
        <s v="ASHLEY XU"/>
        <s v="AUSTIN HANBY"/>
        <s v="BEN GOTTHOLD"/>
        <s v="BO MESSIER"/>
        <s v="BRANDON ANDERS"/>
        <s v="BRIDGET IVKOVICH"/>
        <s v="CHANDLER BENSONREED"/>
        <s v="CHRISTINE ALLEN-BLANCHETTE"/>
        <s v="CHRISTOPHER CHAN"/>
        <s v="CHRISTOPHER MACCO"/>
        <s v="COOPER ZURAD"/>
        <s v="DAN PAREDES"/>
        <s v="DANIEL SHANKS"/>
        <s v="DAVID KASSIE"/>
        <s v="DREW FROHN"/>
        <s v="ER3YN GAUDIO"/>
        <s v="ERIC LAM"/>
        <s v="ETHAN BITTON"/>
        <s v="EVAN LONGACRE"/>
        <s v="FAYADH ALSADIQ"/>
        <s v="GRACE ICENOGLE"/>
        <s v="GREG BURNS"/>
        <s v="GREG PAULUKINAS"/>
        <s v="IAN PROUD"/>
        <s v="IAN RILEY"/>
        <s v="JACK WILKE"/>
        <s v="JACOB TANNAHILL"/>
        <s v="JAKE RUDELSON"/>
        <s v="JASON FERNANDES"/>
        <s v="JEFF MOSTYN"/>
        <s v="JENNESYS AVILES"/>
        <s v="JENNIFER SANVILLE"/>
        <s v="JEREMEY BUCHSBAUM"/>
        <s v="JEREMY OSTROFSKY"/>
        <s v="JOHN HOWE"/>
        <s v="JOSEPH DISALVO"/>
        <s v="JUSTIN MCCARTHEY"/>
        <s v="KAREN YEE"/>
        <s v="KATELYN DOWLING"/>
        <s v="KATHERINE ROGAN"/>
        <s v="KEN CHANG"/>
        <s v="KORY BETH ANCONA"/>
        <s v="KRISTAPS KANCANS"/>
        <s v="LAURA DONOHUE"/>
        <s v="LIZ LONG"/>
        <s v="MACKENZIE ABERNATHY"/>
        <s v="MARIO ARNONE"/>
        <s v="MARK KOH"/>
        <s v="MARKO DURICA"/>
        <s v="MATT LOPIANO"/>
        <s v="MATT SCHMITTLE"/>
        <s v="MICHAEL WADSLEY"/>
        <s v="MIKAELA WEGERHOFF"/>
        <s v="MIKE CUNNINGHAM"/>
        <s v="MIKE SANGILLO"/>
        <s v="MIKE ZITO"/>
        <s v="MIRANDA KELLY"/>
        <s v="MORGAN HART"/>
        <s v="MORGAN SIEGMANN"/>
        <s v="PEDRAM NIKNAM"/>
        <s v="PETE KEMERY"/>
        <s v="PHIL MINSKER"/>
        <s v="RICK EASTBURN"/>
        <s v="ROY AIZEN"/>
        <s v="RYAN RUE"/>
        <s v="RYAN SAGER"/>
        <s v="SAM MARDER"/>
        <s v="SAMANTHA PROSCENO"/>
        <s v="SAMMIE WERNER"/>
        <s v="SCOTT JEFFERS"/>
        <s v="SEAN CHERIAN"/>
        <s v="SEAN OCONNOR"/>
        <s v="STEVEN DUONG"/>
        <s v="TREVOR IRWIN"/>
        <s v="TYLER DEVILBISS"/>
        <s v="VINCE SPIGONAERDO"/>
        <s v="XABIER SAAVEDRA"/>
        <s v="ZIP ALEXANDER"/>
        <s v="ZUZANNA WOJCIESZAK"/>
        <s v="Brian Borja" u="1"/>
        <s v="Ethan Quanci" u="1"/>
        <m u="1"/>
        <s v="Kate Norris" u="1"/>
        <s v="ALEX RATEL" u="1"/>
        <s v="HANK" u="1"/>
        <s v="WAY" u="1"/>
        <s v="Jack Higgins" u="1"/>
        <s v="Tyler Maruca" u="1"/>
        <s v="CAMERON FOX" u="1"/>
        <s v="DANIAL SHANKS" u="1"/>
        <s v="LOUIE STEWART" u="1"/>
        <s v="DAVID ISELE" u="1"/>
        <s v="David Thorne" u="1"/>
        <s v="CAROLINE SUNSHINE " u="1"/>
        <s v="Jeremy Vital" u="1"/>
        <s v="JOE" u="1"/>
        <s v="Neil Castelino" u="1"/>
        <s v="Carly Goldrich" u="1"/>
        <s v="HI" u="1"/>
        <s v="WILL" u="1"/>
        <s v="Sammie Warner" u="1"/>
        <s v="Michael Cunningham" u="1"/>
        <s v="RED" u="1"/>
        <s v="JANE" u="1"/>
        <s v="BILL" u="1"/>
        <s v="Morgan Lapidus" u="1"/>
        <s v="TOE" u="1"/>
        <s v="ANGELA PATINI" u="1"/>
        <s v="Morgan Ash" u="1"/>
        <s v="IVAN BARCINAL" u="1"/>
        <s v=" MARKO DURICA" u="1"/>
        <s v="SONIA ROBERTS" u="1"/>
        <s v="Austin Alexander" u="1"/>
        <s v="DAN" u="1"/>
        <s v="TOM" u="1"/>
        <s v="FRANK" u="1"/>
        <s v="Zach Fox" u="1"/>
        <s v="Tyler Dolgos" u="1"/>
        <s v="NATHAN SCHOMER" u="1"/>
        <s v="JEFF DUPERRET" u="1"/>
        <s v="MIKE" u="1"/>
        <s v="Gabe Lorenz" u="1"/>
      </sharedItems>
    </cacheField>
    <cacheField name="Division" numFmtId="0">
      <sharedItems containsBlank="1" count="8">
        <s v="MB"/>
        <s v="WA"/>
        <s v="MI"/>
        <s v="WI"/>
        <s v="WB"/>
        <s v="MA"/>
        <b v="0" u="1"/>
        <m u="1"/>
      </sharedItems>
    </cacheField>
    <cacheField name="Overall Ranking" numFmtId="0">
      <sharedItems containsSemiMixedTypes="0" containsString="0" containsNumber="1" containsInteger="1" minValue="1" maxValue="87"/>
    </cacheField>
    <cacheField name="Score Total" numFmtId="0">
      <sharedItems containsSemiMixedTypes="0" containsString="0" containsNumber="1" containsInteger="1" minValue="55" maxValue="3003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87">
  <r>
    <x v="0"/>
    <x v="0"/>
    <x v="0"/>
    <x v="0"/>
    <x v="0"/>
    <x v="0"/>
    <n v="62"/>
    <n v="801"/>
  </r>
  <r>
    <x v="1"/>
    <x v="0"/>
    <x v="1"/>
    <x v="1"/>
    <x v="1"/>
    <x v="1"/>
    <n v="29"/>
    <n v="1508"/>
  </r>
  <r>
    <x v="0"/>
    <x v="1"/>
    <x v="2"/>
    <x v="0"/>
    <x v="2"/>
    <x v="2"/>
    <n v="12"/>
    <n v="2059"/>
  </r>
  <r>
    <x v="0"/>
    <x v="0"/>
    <x v="3"/>
    <x v="0"/>
    <x v="3"/>
    <x v="2"/>
    <n v="20"/>
    <n v="1790"/>
  </r>
  <r>
    <x v="0"/>
    <x v="0"/>
    <x v="4"/>
    <x v="1"/>
    <x v="4"/>
    <x v="3"/>
    <n v="45"/>
    <n v="1067"/>
  </r>
  <r>
    <x v="0"/>
    <x v="2"/>
    <x v="5"/>
    <x v="1"/>
    <x v="5"/>
    <x v="4"/>
    <n v="54"/>
    <n v="924"/>
  </r>
  <r>
    <x v="0"/>
    <x v="0"/>
    <x v="3"/>
    <x v="0"/>
    <x v="6"/>
    <x v="2"/>
    <n v="16"/>
    <n v="1918"/>
  </r>
  <r>
    <x v="0"/>
    <x v="0"/>
    <x v="3"/>
    <x v="0"/>
    <x v="7"/>
    <x v="0"/>
    <n v="57"/>
    <n v="825"/>
  </r>
  <r>
    <x v="1"/>
    <x v="3"/>
    <x v="1"/>
    <x v="1"/>
    <x v="8"/>
    <x v="4"/>
    <n v="73"/>
    <n v="576"/>
  </r>
  <r>
    <x v="0"/>
    <x v="1"/>
    <x v="0"/>
    <x v="0"/>
    <x v="9"/>
    <x v="0"/>
    <n v="67"/>
    <n v="741"/>
  </r>
  <r>
    <x v="0"/>
    <x v="1"/>
    <x v="2"/>
    <x v="0"/>
    <x v="10"/>
    <x v="2"/>
    <n v="14"/>
    <n v="1938"/>
  </r>
  <r>
    <x v="0"/>
    <x v="0"/>
    <x v="3"/>
    <x v="0"/>
    <x v="11"/>
    <x v="0"/>
    <n v="66"/>
    <n v="758"/>
  </r>
  <r>
    <x v="0"/>
    <x v="1"/>
    <x v="3"/>
    <x v="0"/>
    <x v="12"/>
    <x v="0"/>
    <n v="78"/>
    <n v="484"/>
  </r>
  <r>
    <x v="0"/>
    <x v="3"/>
    <x v="5"/>
    <x v="1"/>
    <x v="13"/>
    <x v="4"/>
    <n v="82"/>
    <n v="274"/>
  </r>
  <r>
    <x v="0"/>
    <x v="0"/>
    <x v="0"/>
    <x v="0"/>
    <x v="14"/>
    <x v="0"/>
    <n v="60"/>
    <n v="812"/>
  </r>
  <r>
    <x v="0"/>
    <x v="4"/>
    <x v="4"/>
    <x v="1"/>
    <x v="15"/>
    <x v="3"/>
    <n v="37"/>
    <n v="1145"/>
  </r>
  <r>
    <x v="0"/>
    <x v="0"/>
    <x v="3"/>
    <x v="0"/>
    <x v="16"/>
    <x v="0"/>
    <n v="50"/>
    <n v="953"/>
  </r>
  <r>
    <x v="0"/>
    <x v="0"/>
    <x v="3"/>
    <x v="0"/>
    <x v="17"/>
    <x v="2"/>
    <n v="26"/>
    <n v="1569"/>
  </r>
  <r>
    <x v="0"/>
    <x v="0"/>
    <x v="0"/>
    <x v="0"/>
    <x v="18"/>
    <x v="0"/>
    <n v="80"/>
    <n v="396"/>
  </r>
  <r>
    <x v="1"/>
    <x v="3"/>
    <x v="0"/>
    <x v="0"/>
    <x v="19"/>
    <x v="0"/>
    <n v="42"/>
    <n v="1089"/>
  </r>
  <r>
    <x v="0"/>
    <x v="4"/>
    <x v="3"/>
    <x v="0"/>
    <x v="20"/>
    <x v="2"/>
    <n v="28"/>
    <n v="1523"/>
  </r>
  <r>
    <x v="0"/>
    <x v="0"/>
    <x v="3"/>
    <x v="0"/>
    <x v="21"/>
    <x v="2"/>
    <n v="10"/>
    <n v="2076"/>
  </r>
  <r>
    <x v="0"/>
    <x v="0"/>
    <x v="2"/>
    <x v="0"/>
    <x v="22"/>
    <x v="5"/>
    <n v="8"/>
    <n v="2255"/>
  </r>
  <r>
    <x v="0"/>
    <x v="0"/>
    <x v="5"/>
    <x v="1"/>
    <x v="23"/>
    <x v="4"/>
    <n v="74"/>
    <n v="560"/>
  </r>
  <r>
    <x v="0"/>
    <x v="0"/>
    <x v="3"/>
    <x v="0"/>
    <x v="24"/>
    <x v="0"/>
    <n v="76"/>
    <n v="524"/>
  </r>
  <r>
    <x v="0"/>
    <x v="0"/>
    <x v="0"/>
    <x v="0"/>
    <x v="25"/>
    <x v="0"/>
    <n v="70"/>
    <n v="671"/>
  </r>
  <r>
    <x v="0"/>
    <x v="0"/>
    <x v="0"/>
    <x v="0"/>
    <x v="26"/>
    <x v="0"/>
    <n v="56"/>
    <n v="842"/>
  </r>
  <r>
    <x v="0"/>
    <x v="3"/>
    <x v="0"/>
    <x v="0"/>
    <x v="27"/>
    <x v="0"/>
    <n v="39"/>
    <n v="1111"/>
  </r>
  <r>
    <x v="0"/>
    <x v="0"/>
    <x v="1"/>
    <x v="1"/>
    <x v="28"/>
    <x v="1"/>
    <n v="7"/>
    <n v="2309"/>
  </r>
  <r>
    <x v="0"/>
    <x v="0"/>
    <x v="0"/>
    <x v="0"/>
    <x v="29"/>
    <x v="0"/>
    <n v="55"/>
    <n v="880"/>
  </r>
  <r>
    <x v="0"/>
    <x v="0"/>
    <x v="0"/>
    <x v="0"/>
    <x v="30"/>
    <x v="0"/>
    <n v="51"/>
    <n v="946"/>
  </r>
  <r>
    <x v="0"/>
    <x v="0"/>
    <x v="0"/>
    <x v="0"/>
    <x v="31"/>
    <x v="0"/>
    <n v="72"/>
    <n v="660"/>
  </r>
  <r>
    <x v="0"/>
    <x v="0"/>
    <x v="3"/>
    <x v="0"/>
    <x v="32"/>
    <x v="2"/>
    <n v="23"/>
    <n v="1652"/>
  </r>
  <r>
    <x v="0"/>
    <x v="0"/>
    <x v="2"/>
    <x v="0"/>
    <x v="33"/>
    <x v="5"/>
    <n v="4"/>
    <n v="2554"/>
  </r>
  <r>
    <x v="0"/>
    <x v="0"/>
    <x v="3"/>
    <x v="0"/>
    <x v="34"/>
    <x v="0"/>
    <n v="81"/>
    <n v="394"/>
  </r>
  <r>
    <x v="0"/>
    <x v="0"/>
    <x v="3"/>
    <x v="0"/>
    <x v="35"/>
    <x v="2"/>
    <n v="27"/>
    <n v="1530"/>
  </r>
  <r>
    <x v="0"/>
    <x v="4"/>
    <x v="3"/>
    <x v="0"/>
    <x v="36"/>
    <x v="2"/>
    <n v="11"/>
    <n v="2074"/>
  </r>
  <r>
    <x v="0"/>
    <x v="0"/>
    <x v="0"/>
    <x v="0"/>
    <x v="37"/>
    <x v="0"/>
    <n v="69"/>
    <n v="727"/>
  </r>
  <r>
    <x v="0"/>
    <x v="0"/>
    <x v="4"/>
    <x v="1"/>
    <x v="38"/>
    <x v="3"/>
    <n v="39"/>
    <n v="1111"/>
  </r>
  <r>
    <x v="0"/>
    <x v="0"/>
    <x v="5"/>
    <x v="1"/>
    <x v="39"/>
    <x v="4"/>
    <n v="87"/>
    <n v="55"/>
  </r>
  <r>
    <x v="0"/>
    <x v="1"/>
    <x v="3"/>
    <x v="0"/>
    <x v="40"/>
    <x v="0"/>
    <n v="68"/>
    <n v="728"/>
  </r>
  <r>
    <x v="0"/>
    <x v="0"/>
    <x v="3"/>
    <x v="0"/>
    <x v="41"/>
    <x v="2"/>
    <n v="17"/>
    <n v="1862"/>
  </r>
  <r>
    <x v="0"/>
    <x v="1"/>
    <x v="2"/>
    <x v="0"/>
    <x v="42"/>
    <x v="5"/>
    <n v="5"/>
    <n v="2503"/>
  </r>
  <r>
    <x v="0"/>
    <x v="0"/>
    <x v="3"/>
    <x v="0"/>
    <x v="43"/>
    <x v="0"/>
    <n v="31"/>
    <n v="1296"/>
  </r>
  <r>
    <x v="0"/>
    <x v="0"/>
    <x v="0"/>
    <x v="0"/>
    <x v="44"/>
    <x v="0"/>
    <n v="34"/>
    <n v="1233"/>
  </r>
  <r>
    <x v="0"/>
    <x v="0"/>
    <x v="1"/>
    <x v="1"/>
    <x v="45"/>
    <x v="1"/>
    <n v="15"/>
    <n v="1922"/>
  </r>
  <r>
    <x v="0"/>
    <x v="1"/>
    <x v="5"/>
    <x v="1"/>
    <x v="46"/>
    <x v="4"/>
    <n v="75"/>
    <n v="533"/>
  </r>
  <r>
    <x v="0"/>
    <x v="5"/>
    <x v="4"/>
    <x v="1"/>
    <x v="47"/>
    <x v="3"/>
    <n v="33"/>
    <n v="1263"/>
  </r>
  <r>
    <x v="0"/>
    <x v="1"/>
    <x v="3"/>
    <x v="0"/>
    <x v="48"/>
    <x v="0"/>
    <n v="58"/>
    <n v="813"/>
  </r>
  <r>
    <x v="0"/>
    <x v="0"/>
    <x v="4"/>
    <x v="1"/>
    <x v="49"/>
    <x v="3"/>
    <n v="47"/>
    <n v="1033"/>
  </r>
  <r>
    <x v="0"/>
    <x v="0"/>
    <x v="2"/>
    <x v="0"/>
    <x v="50"/>
    <x v="0"/>
    <n v="63"/>
    <n v="781"/>
  </r>
  <r>
    <x v="0"/>
    <x v="1"/>
    <x v="4"/>
    <x v="1"/>
    <x v="51"/>
    <x v="4"/>
    <n v="49"/>
    <n v="955"/>
  </r>
  <r>
    <x v="0"/>
    <x v="0"/>
    <x v="1"/>
    <x v="1"/>
    <x v="52"/>
    <x v="4"/>
    <n v="52"/>
    <n v="939"/>
  </r>
  <r>
    <x v="0"/>
    <x v="3"/>
    <x v="5"/>
    <x v="1"/>
    <x v="53"/>
    <x v="4"/>
    <n v="82"/>
    <n v="274"/>
  </r>
  <r>
    <x v="0"/>
    <x v="0"/>
    <x v="0"/>
    <x v="0"/>
    <x v="54"/>
    <x v="0"/>
    <n v="86"/>
    <n v="132"/>
  </r>
  <r>
    <x v="0"/>
    <x v="0"/>
    <x v="3"/>
    <x v="0"/>
    <x v="55"/>
    <x v="0"/>
    <n v="32"/>
    <n v="1275"/>
  </r>
  <r>
    <x v="0"/>
    <x v="0"/>
    <x v="3"/>
    <x v="0"/>
    <x v="56"/>
    <x v="0"/>
    <n v="61"/>
    <n v="803"/>
  </r>
  <r>
    <x v="0"/>
    <x v="1"/>
    <x v="3"/>
    <x v="0"/>
    <x v="57"/>
    <x v="0"/>
    <n v="71"/>
    <n v="670"/>
  </r>
  <r>
    <x v="0"/>
    <x v="1"/>
    <x v="3"/>
    <x v="0"/>
    <x v="58"/>
    <x v="0"/>
    <n v="84"/>
    <n v="253"/>
  </r>
  <r>
    <x v="1"/>
    <x v="3"/>
    <x v="2"/>
    <x v="0"/>
    <x v="59"/>
    <x v="2"/>
    <n v="18"/>
    <n v="1825"/>
  </r>
  <r>
    <x v="0"/>
    <x v="0"/>
    <x v="1"/>
    <x v="1"/>
    <x v="60"/>
    <x v="4"/>
    <n v="79"/>
    <n v="473"/>
  </r>
  <r>
    <x v="0"/>
    <x v="0"/>
    <x v="2"/>
    <x v="0"/>
    <x v="61"/>
    <x v="5"/>
    <n v="1"/>
    <n v="3003"/>
  </r>
  <r>
    <x v="0"/>
    <x v="0"/>
    <x v="3"/>
    <x v="0"/>
    <x v="62"/>
    <x v="2"/>
    <n v="22"/>
    <n v="1720"/>
  </r>
  <r>
    <x v="0"/>
    <x v="1"/>
    <x v="3"/>
    <x v="0"/>
    <x v="63"/>
    <x v="0"/>
    <n v="46"/>
    <n v="1048"/>
  </r>
  <r>
    <x v="1"/>
    <x v="3"/>
    <x v="5"/>
    <x v="1"/>
    <x v="64"/>
    <x v="4"/>
    <n v="48"/>
    <n v="981"/>
  </r>
  <r>
    <x v="0"/>
    <x v="3"/>
    <x v="0"/>
    <x v="0"/>
    <x v="65"/>
    <x v="0"/>
    <n v="36"/>
    <n v="1187"/>
  </r>
  <r>
    <x v="0"/>
    <x v="0"/>
    <x v="3"/>
    <x v="0"/>
    <x v="66"/>
    <x v="0"/>
    <n v="38"/>
    <n v="1122"/>
  </r>
  <r>
    <x v="0"/>
    <x v="0"/>
    <x v="2"/>
    <x v="0"/>
    <x v="67"/>
    <x v="5"/>
    <n v="3"/>
    <n v="2741"/>
  </r>
  <r>
    <x v="0"/>
    <x v="3"/>
    <x v="0"/>
    <x v="0"/>
    <x v="68"/>
    <x v="0"/>
    <n v="53"/>
    <n v="936"/>
  </r>
  <r>
    <x v="0"/>
    <x v="0"/>
    <x v="2"/>
    <x v="0"/>
    <x v="69"/>
    <x v="2"/>
    <n v="19"/>
    <n v="1807"/>
  </r>
  <r>
    <x v="0"/>
    <x v="0"/>
    <x v="3"/>
    <x v="0"/>
    <x v="70"/>
    <x v="0"/>
    <n v="65"/>
    <n v="769"/>
  </r>
  <r>
    <x v="0"/>
    <x v="0"/>
    <x v="3"/>
    <x v="0"/>
    <x v="71"/>
    <x v="0"/>
    <n v="35"/>
    <n v="1231"/>
  </r>
  <r>
    <x v="0"/>
    <x v="0"/>
    <x v="3"/>
    <x v="0"/>
    <x v="72"/>
    <x v="2"/>
    <n v="25"/>
    <n v="1574"/>
  </r>
  <r>
    <x v="1"/>
    <x v="3"/>
    <x v="3"/>
    <x v="0"/>
    <x v="73"/>
    <x v="2"/>
    <n v="9"/>
    <n v="2144"/>
  </r>
  <r>
    <x v="0"/>
    <x v="0"/>
    <x v="0"/>
    <x v="0"/>
    <x v="74"/>
    <x v="0"/>
    <n v="85"/>
    <n v="231"/>
  </r>
  <r>
    <x v="0"/>
    <x v="1"/>
    <x v="4"/>
    <x v="1"/>
    <x v="75"/>
    <x v="3"/>
    <n v="43"/>
    <n v="1081"/>
  </r>
  <r>
    <x v="0"/>
    <x v="0"/>
    <x v="4"/>
    <x v="1"/>
    <x v="76"/>
    <x v="4"/>
    <n v="63"/>
    <n v="781"/>
  </r>
  <r>
    <x v="0"/>
    <x v="0"/>
    <x v="2"/>
    <x v="0"/>
    <x v="77"/>
    <x v="5"/>
    <n v="6"/>
    <n v="2417"/>
  </r>
  <r>
    <x v="0"/>
    <x v="0"/>
    <x v="0"/>
    <x v="0"/>
    <x v="78"/>
    <x v="0"/>
    <n v="41"/>
    <n v="1100"/>
  </r>
  <r>
    <x v="0"/>
    <x v="0"/>
    <x v="3"/>
    <x v="0"/>
    <x v="79"/>
    <x v="2"/>
    <n v="13"/>
    <n v="1955"/>
  </r>
  <r>
    <x v="0"/>
    <x v="0"/>
    <x v="3"/>
    <x v="0"/>
    <x v="80"/>
    <x v="0"/>
    <n v="77"/>
    <n v="495"/>
  </r>
  <r>
    <x v="0"/>
    <x v="0"/>
    <x v="2"/>
    <x v="0"/>
    <x v="81"/>
    <x v="2"/>
    <n v="24"/>
    <n v="1601"/>
  </r>
  <r>
    <x v="0"/>
    <x v="0"/>
    <x v="2"/>
    <x v="0"/>
    <x v="82"/>
    <x v="5"/>
    <n v="2"/>
    <n v="2951"/>
  </r>
  <r>
    <x v="0"/>
    <x v="0"/>
    <x v="3"/>
    <x v="0"/>
    <x v="83"/>
    <x v="2"/>
    <n v="30"/>
    <n v="1422"/>
  </r>
  <r>
    <x v="0"/>
    <x v="0"/>
    <x v="0"/>
    <x v="0"/>
    <x v="84"/>
    <x v="0"/>
    <n v="58"/>
    <n v="813"/>
  </r>
  <r>
    <x v="0"/>
    <x v="0"/>
    <x v="2"/>
    <x v="0"/>
    <x v="85"/>
    <x v="2"/>
    <n v="21"/>
    <n v="1757"/>
  </r>
  <r>
    <x v="0"/>
    <x v="3"/>
    <x v="4"/>
    <x v="1"/>
    <x v="86"/>
    <x v="3"/>
    <n v="44"/>
    <n v="107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6" cacheId="0" applyNumberFormats="0" applyBorderFormats="0" applyFontFormats="0" applyPatternFormats="0" applyAlignmentFormats="0" applyWidthHeightFormats="1" dataCaption="Values" updatedVersion="5" minRefreshableVersion="3" showCalcMbrs="0" useAutoFormatting="1" rowGrandTotals="0" itemPrintTitles="1" createdVersion="3" indent="0" outline="1" outlineData="1" multipleFieldFilters="0">
  <location ref="B6:I100" firstHeaderRow="1" firstDataRow="2" firstDataCol="1" rowPageCount="3" colPageCount="1"/>
  <pivotFields count="8">
    <pivotField axis="axisPage" showAll="0">
      <items count="6">
        <item m="1" x="3"/>
        <item m="1" x="4"/>
        <item m="1" x="2"/>
        <item x="0"/>
        <item x="1"/>
        <item t="default"/>
      </items>
    </pivotField>
    <pivotField axis="axisPage" showAll="0">
      <items count="15">
        <item x="0"/>
        <item m="1" x="8"/>
        <item x="3"/>
        <item m="1" x="13"/>
        <item m="1" x="11"/>
        <item m="1" x="7"/>
        <item m="1" x="6"/>
        <item m="1" x="9"/>
        <item x="1"/>
        <item x="2"/>
        <item x="4"/>
        <item m="1" x="10"/>
        <item m="1" x="12"/>
        <item x="5"/>
        <item t="default"/>
      </items>
    </pivotField>
    <pivotField axis="axisCol" showAll="0" defaultSubtotal="0">
      <items count="8">
        <item x="0"/>
        <item m="1" x="6"/>
        <item x="3"/>
        <item x="2"/>
        <item x="1"/>
        <item m="1" x="7"/>
        <item x="5"/>
        <item x="4"/>
      </items>
    </pivotField>
    <pivotField axis="axisPage" showAll="0">
      <items count="4">
        <item x="0"/>
        <item x="1"/>
        <item m="1" x="2"/>
        <item t="default"/>
      </items>
    </pivotField>
    <pivotField axis="axisRow" showAll="0" sortType="descending">
      <items count="131">
        <item x="0"/>
        <item x="2"/>
        <item m="1" x="91"/>
        <item x="5"/>
        <item x="6"/>
        <item m="1" x="120"/>
        <item x="9"/>
        <item x="10"/>
        <item m="1" x="112"/>
        <item x="11"/>
        <item x="12"/>
        <item m="1" x="87"/>
        <item x="13"/>
        <item m="1" x="96"/>
        <item m="1" x="105"/>
        <item m="1" x="101"/>
        <item x="14"/>
        <item x="17"/>
        <item x="18"/>
        <item m="1" x="121"/>
        <item x="19"/>
        <item m="1" x="100"/>
        <item x="23"/>
        <item x="25"/>
        <item m="1" x="88"/>
        <item x="26"/>
        <item x="27"/>
        <item m="1" x="123"/>
        <item m="1" x="129"/>
        <item x="29"/>
        <item x="30"/>
        <item m="1" x="92"/>
        <item m="1" x="106"/>
        <item x="31"/>
        <item x="32"/>
        <item m="1" x="94"/>
        <item x="33"/>
        <item x="35"/>
        <item m="1" x="111"/>
        <item x="37"/>
        <item x="39"/>
        <item x="40"/>
        <item m="1" x="102"/>
        <item m="1" x="103"/>
        <item x="42"/>
        <item x="43"/>
        <item x="44"/>
        <item x="45"/>
        <item m="1" x="90"/>
        <item x="46"/>
        <item x="48"/>
        <item x="51"/>
        <item x="53"/>
        <item x="54"/>
        <item x="57"/>
        <item x="58"/>
        <item m="1" x="109"/>
        <item x="59"/>
        <item m="1" x="128"/>
        <item x="63"/>
        <item x="64"/>
        <item m="1" x="116"/>
        <item x="65"/>
        <item m="1" x="113"/>
        <item m="1" x="126"/>
        <item m="1" x="104"/>
        <item x="68"/>
        <item m="1" x="110"/>
        <item x="71"/>
        <item x="72"/>
        <item x="74"/>
        <item x="75"/>
        <item m="1" x="108"/>
        <item x="78"/>
        <item x="79"/>
        <item m="1" x="114"/>
        <item m="1" x="122"/>
        <item x="82"/>
        <item m="1" x="125"/>
        <item m="1" x="95"/>
        <item m="1" x="93"/>
        <item m="1" x="107"/>
        <item x="84"/>
        <item m="1" x="124"/>
        <item m="1" x="89"/>
        <item m="1" x="118"/>
        <item x="4"/>
        <item x="7"/>
        <item x="15"/>
        <item m="1" x="99"/>
        <item x="24"/>
        <item m="1" x="117"/>
        <item x="34"/>
        <item m="1" x="127"/>
        <item x="52"/>
        <item m="1" x="98"/>
        <item x="70"/>
        <item x="73"/>
        <item x="76"/>
        <item m="1" x="119"/>
        <item x="80"/>
        <item x="66"/>
        <item x="55"/>
        <item x="49"/>
        <item x="83"/>
        <item x="21"/>
        <item x="38"/>
        <item x="16"/>
        <item x="36"/>
        <item x="62"/>
        <item x="41"/>
        <item m="1" x="97"/>
        <item x="86"/>
        <item x="3"/>
        <item x="22"/>
        <item x="47"/>
        <item x="56"/>
        <item x="81"/>
        <item x="1"/>
        <item m="1" x="115"/>
        <item x="8"/>
        <item x="28"/>
        <item x="61"/>
        <item x="67"/>
        <item x="85"/>
        <item x="77"/>
        <item x="20"/>
        <item x="50"/>
        <item x="69"/>
        <item x="60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axis="axisRow" showAll="0" sortType="descending">
      <items count="9">
        <item x="5"/>
        <item x="0"/>
        <item x="2"/>
        <item x="1"/>
        <item x="4"/>
        <item x="3"/>
        <item h="1" m="1" x="6"/>
        <item h="1" m="1" x="7"/>
        <item t="default"/>
      </items>
      <autoSortScope>
        <pivotArea dataOnly="0" outline="0" fieldPosition="0">
          <references count="1">
            <reference field="4294967294" count="1" selected="0">
              <x v="0"/>
            </reference>
          </references>
        </pivotArea>
      </autoSortScope>
    </pivotField>
    <pivotField showAll="0"/>
    <pivotField dataField="1" showAll="0"/>
  </pivotFields>
  <rowFields count="2">
    <field x="5"/>
    <field x="4"/>
  </rowFields>
  <rowItems count="93">
    <i>
      <x v="2"/>
    </i>
    <i r="1">
      <x v="97"/>
    </i>
    <i r="1">
      <x v="105"/>
    </i>
    <i r="1">
      <x v="108"/>
    </i>
    <i r="1">
      <x v="1"/>
    </i>
    <i r="1">
      <x v="74"/>
    </i>
    <i r="1">
      <x v="7"/>
    </i>
    <i r="1">
      <x v="4"/>
    </i>
    <i r="1">
      <x v="110"/>
    </i>
    <i r="1">
      <x v="57"/>
    </i>
    <i r="1">
      <x v="128"/>
    </i>
    <i r="1">
      <x v="113"/>
    </i>
    <i r="1">
      <x v="124"/>
    </i>
    <i r="1">
      <x v="109"/>
    </i>
    <i r="1">
      <x v="34"/>
    </i>
    <i r="1">
      <x v="117"/>
    </i>
    <i r="1">
      <x v="69"/>
    </i>
    <i r="1">
      <x v="17"/>
    </i>
    <i r="1">
      <x v="37"/>
    </i>
    <i r="1">
      <x v="126"/>
    </i>
    <i r="1">
      <x v="104"/>
    </i>
    <i>
      <x v="1"/>
    </i>
    <i r="1">
      <x v="45"/>
    </i>
    <i r="1">
      <x v="102"/>
    </i>
    <i r="1">
      <x v="46"/>
    </i>
    <i r="1">
      <x v="68"/>
    </i>
    <i r="1">
      <x v="62"/>
    </i>
    <i r="1">
      <x v="101"/>
    </i>
    <i r="1">
      <x v="26"/>
    </i>
    <i r="1">
      <x v="73"/>
    </i>
    <i r="1">
      <x v="20"/>
    </i>
    <i r="1">
      <x v="59"/>
    </i>
    <i r="1">
      <x v="107"/>
    </i>
    <i r="1">
      <x v="30"/>
    </i>
    <i r="1">
      <x v="66"/>
    </i>
    <i r="1">
      <x v="29"/>
    </i>
    <i r="1">
      <x v="25"/>
    </i>
    <i r="1">
      <x v="87"/>
    </i>
    <i r="1">
      <x v="82"/>
    </i>
    <i r="1">
      <x v="50"/>
    </i>
    <i r="1">
      <x v="16"/>
    </i>
    <i r="1">
      <x v="116"/>
    </i>
    <i r="1">
      <x/>
    </i>
    <i r="1">
      <x v="127"/>
    </i>
    <i r="1">
      <x v="96"/>
    </i>
    <i r="1">
      <x v="9"/>
    </i>
    <i r="1">
      <x v="6"/>
    </i>
    <i r="1">
      <x v="41"/>
    </i>
    <i r="1">
      <x v="39"/>
    </i>
    <i r="1">
      <x v="23"/>
    </i>
    <i r="1">
      <x v="54"/>
    </i>
    <i r="1">
      <x v="33"/>
    </i>
    <i r="1">
      <x v="90"/>
    </i>
    <i r="1">
      <x v="100"/>
    </i>
    <i r="1">
      <x v="10"/>
    </i>
    <i r="1">
      <x v="18"/>
    </i>
    <i r="1">
      <x v="92"/>
    </i>
    <i r="1">
      <x v="55"/>
    </i>
    <i r="1">
      <x v="70"/>
    </i>
    <i r="1">
      <x v="53"/>
    </i>
    <i>
      <x/>
    </i>
    <i r="1">
      <x v="122"/>
    </i>
    <i r="1">
      <x v="77"/>
    </i>
    <i r="1">
      <x v="123"/>
    </i>
    <i r="1">
      <x v="36"/>
    </i>
    <i r="1">
      <x v="44"/>
    </i>
    <i r="1">
      <x v="125"/>
    </i>
    <i r="1">
      <x v="114"/>
    </i>
    <i>
      <x v="5"/>
    </i>
    <i r="1">
      <x v="115"/>
    </i>
    <i r="1">
      <x v="88"/>
    </i>
    <i r="1">
      <x v="106"/>
    </i>
    <i r="1">
      <x v="71"/>
    </i>
    <i r="1">
      <x v="112"/>
    </i>
    <i r="1">
      <x v="86"/>
    </i>
    <i r="1">
      <x v="103"/>
    </i>
    <i>
      <x v="4"/>
    </i>
    <i r="1">
      <x v="60"/>
    </i>
    <i r="1">
      <x v="51"/>
    </i>
    <i r="1">
      <x v="94"/>
    </i>
    <i r="1">
      <x v="3"/>
    </i>
    <i r="1">
      <x v="98"/>
    </i>
    <i r="1">
      <x v="120"/>
    </i>
    <i r="1">
      <x v="22"/>
    </i>
    <i r="1">
      <x v="49"/>
    </i>
    <i r="1">
      <x v="129"/>
    </i>
    <i r="1">
      <x v="12"/>
    </i>
    <i r="1">
      <x v="52"/>
    </i>
    <i r="1">
      <x v="40"/>
    </i>
    <i>
      <x v="3"/>
    </i>
    <i r="1">
      <x v="121"/>
    </i>
    <i r="1">
      <x v="47"/>
    </i>
    <i r="1">
      <x v="118"/>
    </i>
  </rowItems>
  <colFields count="1">
    <field x="2"/>
  </colFields>
  <colItems count="7">
    <i>
      <x/>
    </i>
    <i>
      <x v="2"/>
    </i>
    <i>
      <x v="3"/>
    </i>
    <i>
      <x v="4"/>
    </i>
    <i>
      <x v="6"/>
    </i>
    <i>
      <x v="7"/>
    </i>
    <i t="grand">
      <x/>
    </i>
  </colItems>
  <pageFields count="3">
    <pageField fld="3" hier="-1"/>
    <pageField fld="0" hier="-1"/>
    <pageField fld="1" hier="-1"/>
  </pageFields>
  <dataFields count="1">
    <dataField name="Sum of Score Total" fld="7" baseField="0" baseItem="0"/>
  </dataFields>
  <pivotTableStyleInfo name="PivotStyleMedium8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3.bin"/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B2:BR90"/>
  <sheetViews>
    <sheetView tabSelected="1" zoomScale="60" zoomScaleNormal="60" workbookViewId="0">
      <pane xSplit="9" ySplit="3" topLeftCell="J4" activePane="bottomRight" state="frozen"/>
      <selection pane="topRight" activeCell="E1" sqref="E1"/>
      <selection pane="bottomLeft" activeCell="A3" sqref="A3"/>
      <selection pane="bottomRight" activeCell="F88" sqref="F88"/>
    </sheetView>
  </sheetViews>
  <sheetFormatPr defaultRowHeight="15" x14ac:dyDescent="0.25"/>
  <cols>
    <col min="1" max="1" width="3.7109375" style="1" customWidth="1"/>
    <col min="2" max="2" width="10.42578125" style="1" bestFit="1" customWidth="1"/>
    <col min="3" max="4" width="16.28515625" style="1" customWidth="1"/>
    <col min="5" max="5" width="24" style="1" customWidth="1"/>
    <col min="6" max="6" width="41.140625" style="1" bestFit="1" customWidth="1"/>
    <col min="7" max="9" width="24" style="1" customWidth="1"/>
    <col min="10" max="10" width="16.28515625" style="1" customWidth="1"/>
    <col min="11" max="11" width="12.42578125" style="1" customWidth="1"/>
    <col min="12" max="12" width="11.5703125" style="1" customWidth="1"/>
    <col min="13" max="13" width="12" style="1" customWidth="1"/>
    <col min="14" max="14" width="12.7109375" style="1" customWidth="1"/>
    <col min="15" max="16" width="12" style="1" bestFit="1" customWidth="1"/>
    <col min="17" max="16384" width="9.140625" style="1"/>
  </cols>
  <sheetData>
    <row r="2" spans="2:70" ht="68.25" customHeight="1" x14ac:dyDescent="0.25">
      <c r="B2" s="58" t="s">
        <v>55</v>
      </c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9"/>
    </row>
    <row r="3" spans="2:70" ht="23.25" x14ac:dyDescent="0.35">
      <c r="B3" s="34" t="s">
        <v>78</v>
      </c>
      <c r="C3" s="35" t="s">
        <v>52</v>
      </c>
      <c r="D3" s="36" t="s">
        <v>84</v>
      </c>
      <c r="E3" s="35" t="s">
        <v>76</v>
      </c>
      <c r="F3" s="36" t="s">
        <v>53</v>
      </c>
      <c r="G3" s="35" t="s">
        <v>62</v>
      </c>
      <c r="H3" s="35" t="s">
        <v>75</v>
      </c>
      <c r="I3" s="35" t="s">
        <v>54</v>
      </c>
      <c r="J3" s="57" t="s">
        <v>74</v>
      </c>
      <c r="K3" s="57"/>
      <c r="L3" s="57"/>
      <c r="M3" s="57"/>
      <c r="N3" s="57"/>
      <c r="O3" s="37"/>
      <c r="P3" s="37"/>
      <c r="Q3" s="37"/>
      <c r="R3" s="37"/>
    </row>
    <row r="4" spans="2:70" ht="21" x14ac:dyDescent="0.35">
      <c r="B4" s="4" t="s">
        <v>24</v>
      </c>
      <c r="C4" s="27" t="s">
        <v>114</v>
      </c>
      <c r="D4" s="38" t="s">
        <v>66</v>
      </c>
      <c r="E4" s="28" t="s">
        <v>12</v>
      </c>
      <c r="F4" s="39" t="s">
        <v>119</v>
      </c>
      <c r="G4" s="40" t="str">
        <f t="shared" ref="G4:G35" si="0">IF(E4=M,IF(I4&lt;=MBP,MB,IF(I4&lt;=MIP,MI,MA)),IF(E4=W,IF(I4&lt;=WBP,WB,IF(I4&lt;=WIP,WI,WA))))</f>
        <v>MB</v>
      </c>
      <c r="H4" s="4">
        <f t="shared" ref="H4:H35" si="1">RANK(I4,$I$4:$I$90,0)</f>
        <v>62</v>
      </c>
      <c r="I4" s="27">
        <f>CEILING(SUM(LARGE(J4:BI4,{1,2,3,4,5})),1)</f>
        <v>801</v>
      </c>
      <c r="J4" s="14">
        <f>ZN*F</f>
        <v>132</v>
      </c>
      <c r="K4" s="3">
        <f>ZU</f>
        <v>240</v>
      </c>
      <c r="L4" s="3">
        <f>ZLL*F</f>
        <v>154</v>
      </c>
      <c r="M4" s="3">
        <f>ZBB*F</f>
        <v>176</v>
      </c>
      <c r="N4" s="7">
        <f>ZV*F</f>
        <v>99.000000000000014</v>
      </c>
      <c r="O4" s="3"/>
      <c r="P4" s="3"/>
      <c r="Q4" s="3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</row>
    <row r="5" spans="2:70" ht="21" x14ac:dyDescent="0.35">
      <c r="B5" s="4" t="s">
        <v>147</v>
      </c>
      <c r="C5" s="26" t="s">
        <v>114</v>
      </c>
      <c r="D5" s="2" t="s">
        <v>67</v>
      </c>
      <c r="E5" s="28" t="s">
        <v>22</v>
      </c>
      <c r="F5" s="2" t="s">
        <v>209</v>
      </c>
      <c r="G5" s="40" t="str">
        <f t="shared" si="0"/>
        <v>WA</v>
      </c>
      <c r="H5" s="4">
        <f t="shared" si="1"/>
        <v>29</v>
      </c>
      <c r="I5" s="27">
        <f>CEILING(SUM(LARGE(J5:BI5,{1,2,3,4,5})),1)</f>
        <v>1508</v>
      </c>
      <c r="J5" s="14">
        <f>ZD</f>
        <v>210</v>
      </c>
      <c r="K5" s="3">
        <f>ZC*F</f>
        <v>440.00000000000006</v>
      </c>
      <c r="L5" s="3">
        <f>ZO*F</f>
        <v>429.00000000000006</v>
      </c>
      <c r="M5" s="3">
        <f>ZBB*F</f>
        <v>176</v>
      </c>
      <c r="N5" s="7">
        <f>ZOO*F</f>
        <v>253.00000000000003</v>
      </c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</row>
    <row r="6" spans="2:70" ht="21" x14ac:dyDescent="0.35">
      <c r="B6" s="4" t="s">
        <v>24</v>
      </c>
      <c r="C6" s="27" t="s">
        <v>129</v>
      </c>
      <c r="D6" s="38" t="s">
        <v>64</v>
      </c>
      <c r="E6" s="28" t="s">
        <v>12</v>
      </c>
      <c r="F6" s="39" t="s">
        <v>128</v>
      </c>
      <c r="G6" s="40" t="str">
        <f t="shared" si="0"/>
        <v>MI</v>
      </c>
      <c r="H6" s="4">
        <f t="shared" si="1"/>
        <v>12</v>
      </c>
      <c r="I6" s="27">
        <f>CEILING(SUM(LARGE(J6:BI6,{1,2,3,4,5})),1)</f>
        <v>2059</v>
      </c>
      <c r="J6" s="14">
        <f>ZLL*F</f>
        <v>154</v>
      </c>
      <c r="K6" s="3">
        <f>ZDD*F</f>
        <v>374.00000000000006</v>
      </c>
      <c r="L6" s="3">
        <f>ZEE</f>
        <v>530</v>
      </c>
      <c r="M6" s="3">
        <f>ZA*F</f>
        <v>55.000000000000007</v>
      </c>
      <c r="N6" s="7">
        <f>ZC*F</f>
        <v>440.00000000000006</v>
      </c>
      <c r="O6" s="3">
        <f>ZS*F</f>
        <v>561</v>
      </c>
      <c r="P6" s="3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</row>
    <row r="7" spans="2:70" ht="21" x14ac:dyDescent="0.35">
      <c r="B7" s="4" t="s">
        <v>24</v>
      </c>
      <c r="C7" s="26" t="s">
        <v>114</v>
      </c>
      <c r="D7" s="2" t="s">
        <v>65</v>
      </c>
      <c r="E7" s="28" t="s">
        <v>12</v>
      </c>
      <c r="F7" s="2" t="s">
        <v>200</v>
      </c>
      <c r="G7" s="40" t="str">
        <f t="shared" si="0"/>
        <v>MI</v>
      </c>
      <c r="H7" s="4">
        <f t="shared" si="1"/>
        <v>20</v>
      </c>
      <c r="I7" s="27">
        <f>CEILING(SUM(LARGE(J7:BI7,{1,2,3,4,5})),1)</f>
        <v>1790</v>
      </c>
      <c r="J7" s="14">
        <f>ZU*F</f>
        <v>264</v>
      </c>
      <c r="K7" s="3">
        <f>ZW*F</f>
        <v>407.00000000000006</v>
      </c>
      <c r="L7" s="3">
        <f>ZB</f>
        <v>350</v>
      </c>
      <c r="M7" s="3">
        <f>ZX*F</f>
        <v>328.90000000000003</v>
      </c>
      <c r="N7" s="7">
        <f>ZPP*F</f>
        <v>440.00000000000006</v>
      </c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</row>
    <row r="8" spans="2:70" ht="21" x14ac:dyDescent="0.35">
      <c r="B8" s="4" t="s">
        <v>24</v>
      </c>
      <c r="C8" s="26" t="s">
        <v>114</v>
      </c>
      <c r="D8" s="2" t="s">
        <v>68</v>
      </c>
      <c r="E8" s="28" t="s">
        <v>22</v>
      </c>
      <c r="F8" s="2" t="s">
        <v>185</v>
      </c>
      <c r="G8" s="40" t="str">
        <f t="shared" si="0"/>
        <v>WI</v>
      </c>
      <c r="H8" s="4">
        <f t="shared" si="1"/>
        <v>45</v>
      </c>
      <c r="I8" s="27">
        <f>CEILING(SUM(LARGE(J8:BI8,{1,2,3,4,5})),1)</f>
        <v>1067</v>
      </c>
      <c r="J8" s="14">
        <f>ZOO*F</f>
        <v>253.00000000000003</v>
      </c>
      <c r="K8" s="3">
        <f>ZHH*F</f>
        <v>220.00000000000003</v>
      </c>
      <c r="L8" s="3">
        <f>ZBB*F</f>
        <v>176</v>
      </c>
      <c r="M8" s="3">
        <f>ZU*F</f>
        <v>264</v>
      </c>
      <c r="N8" s="7">
        <f>ZLL*F</f>
        <v>154</v>
      </c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</row>
    <row r="9" spans="2:70" ht="21" x14ac:dyDescent="0.35">
      <c r="B9" s="4" t="s">
        <v>24</v>
      </c>
      <c r="C9" s="26" t="s">
        <v>127</v>
      </c>
      <c r="D9" s="38" t="s">
        <v>69</v>
      </c>
      <c r="E9" s="28" t="s">
        <v>22</v>
      </c>
      <c r="F9" s="39" t="s">
        <v>126</v>
      </c>
      <c r="G9" s="40" t="str">
        <f t="shared" si="0"/>
        <v>WB</v>
      </c>
      <c r="H9" s="4">
        <f t="shared" si="1"/>
        <v>54</v>
      </c>
      <c r="I9" s="27">
        <f>CEILING(SUM(LARGE(J9:BI9,{1,2,3,4,5})),1)</f>
        <v>924</v>
      </c>
      <c r="J9" s="14">
        <f>ZA*F</f>
        <v>55.000000000000007</v>
      </c>
      <c r="K9" s="3">
        <f>ZV*F</f>
        <v>99.000000000000014</v>
      </c>
      <c r="L9" s="3">
        <f>ZN*F</f>
        <v>132</v>
      </c>
      <c r="M9" s="3">
        <f>ZLL*F</f>
        <v>154</v>
      </c>
      <c r="N9" s="7">
        <f>ZBB*F</f>
        <v>176</v>
      </c>
      <c r="O9" s="4">
        <f>ZG*F</f>
        <v>198.00000000000003</v>
      </c>
      <c r="P9" s="4">
        <f>ZU*F</f>
        <v>264</v>
      </c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</row>
    <row r="10" spans="2:70" ht="21" x14ac:dyDescent="0.35">
      <c r="B10" s="4" t="s">
        <v>24</v>
      </c>
      <c r="C10" s="27" t="s">
        <v>114</v>
      </c>
      <c r="D10" s="38" t="s">
        <v>65</v>
      </c>
      <c r="E10" s="28" t="s">
        <v>12</v>
      </c>
      <c r="F10" s="39" t="s">
        <v>138</v>
      </c>
      <c r="G10" s="40" t="str">
        <f t="shared" si="0"/>
        <v>MI</v>
      </c>
      <c r="H10" s="4">
        <f t="shared" si="1"/>
        <v>16</v>
      </c>
      <c r="I10" s="27">
        <f>CEILING(SUM(LARGE(J10:BI10,{1,2,3,4,5})),1)</f>
        <v>1918</v>
      </c>
      <c r="J10" s="14">
        <f>ZB*F</f>
        <v>385.00000000000006</v>
      </c>
      <c r="K10" s="3">
        <f>ZC*F</f>
        <v>440.00000000000006</v>
      </c>
      <c r="L10" s="3">
        <f>ZX*F</f>
        <v>328.90000000000003</v>
      </c>
      <c r="M10" s="3">
        <f>ZO</f>
        <v>390</v>
      </c>
      <c r="N10" s="7">
        <f>ZGG*F</f>
        <v>374.00000000000006</v>
      </c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</row>
    <row r="11" spans="2:70" ht="21" x14ac:dyDescent="0.35">
      <c r="B11" s="4" t="s">
        <v>24</v>
      </c>
      <c r="C11" s="26" t="s">
        <v>114</v>
      </c>
      <c r="D11" s="2" t="s">
        <v>65</v>
      </c>
      <c r="E11" s="28" t="s">
        <v>12</v>
      </c>
      <c r="F11" s="2" t="s">
        <v>176</v>
      </c>
      <c r="G11" s="40" t="str">
        <f t="shared" si="0"/>
        <v>MB</v>
      </c>
      <c r="H11" s="4">
        <f t="shared" si="1"/>
        <v>57</v>
      </c>
      <c r="I11" s="27">
        <f>CEILING(SUM(LARGE(J11:BI11,{1,2,3,4,5})),1)</f>
        <v>825</v>
      </c>
      <c r="J11" s="14">
        <f>ZKK*F</f>
        <v>396.00000000000006</v>
      </c>
      <c r="K11" s="3">
        <f>ZO*F</f>
        <v>429.00000000000006</v>
      </c>
      <c r="L11" s="3">
        <v>0</v>
      </c>
      <c r="M11" s="3">
        <v>0</v>
      </c>
      <c r="N11" s="7">
        <v>0</v>
      </c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</row>
    <row r="12" spans="2:70" ht="21" x14ac:dyDescent="0.35">
      <c r="B12" s="4" t="s">
        <v>147</v>
      </c>
      <c r="C12" s="26" t="s">
        <v>144</v>
      </c>
      <c r="D12" s="2" t="s">
        <v>67</v>
      </c>
      <c r="E12" s="28" t="s">
        <v>22</v>
      </c>
      <c r="F12" s="2" t="s">
        <v>208</v>
      </c>
      <c r="G12" s="40" t="str">
        <f t="shared" si="0"/>
        <v>WB</v>
      </c>
      <c r="H12" s="4">
        <f t="shared" si="1"/>
        <v>73</v>
      </c>
      <c r="I12" s="27">
        <f>CEILING(SUM(LARGE(J12:BI12,{1,2,3,4,5})),1)</f>
        <v>576</v>
      </c>
      <c r="J12" s="14">
        <f>ZBB*F</f>
        <v>176</v>
      </c>
      <c r="K12" s="3">
        <f>ZPP</f>
        <v>400</v>
      </c>
      <c r="L12" s="3">
        <v>0</v>
      </c>
      <c r="M12" s="3">
        <v>0</v>
      </c>
      <c r="N12" s="7">
        <v>0</v>
      </c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</row>
    <row r="13" spans="2:70" ht="21" x14ac:dyDescent="0.35">
      <c r="B13" s="4" t="s">
        <v>24</v>
      </c>
      <c r="C13" s="26" t="s">
        <v>129</v>
      </c>
      <c r="D13" s="2" t="s">
        <v>66</v>
      </c>
      <c r="E13" s="28" t="s">
        <v>12</v>
      </c>
      <c r="F13" s="2" t="s">
        <v>151</v>
      </c>
      <c r="G13" s="40" t="str">
        <f t="shared" si="0"/>
        <v>MB</v>
      </c>
      <c r="H13" s="4">
        <f t="shared" si="1"/>
        <v>67</v>
      </c>
      <c r="I13" s="27">
        <f>CEILING(SUM(LARGE(J13:BI13,{1,2,3,4,5})),1)</f>
        <v>741</v>
      </c>
      <c r="J13" s="14">
        <f>ZN*F</f>
        <v>132</v>
      </c>
      <c r="K13" s="3">
        <f>ZV*F</f>
        <v>99.000000000000014</v>
      </c>
      <c r="L13" s="3">
        <f>ZLL*F</f>
        <v>154</v>
      </c>
      <c r="M13" s="3">
        <f>ZBB*F</f>
        <v>176</v>
      </c>
      <c r="N13" s="7">
        <f>ZG</f>
        <v>180</v>
      </c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</row>
    <row r="14" spans="2:70" ht="26.25" customHeight="1" x14ac:dyDescent="0.35">
      <c r="B14" s="4" t="s">
        <v>24</v>
      </c>
      <c r="C14" s="27" t="s">
        <v>129</v>
      </c>
      <c r="D14" s="38" t="s">
        <v>64</v>
      </c>
      <c r="E14" s="28" t="s">
        <v>12</v>
      </c>
      <c r="F14" s="39" t="s">
        <v>130</v>
      </c>
      <c r="G14" s="40" t="str">
        <f t="shared" si="0"/>
        <v>MI</v>
      </c>
      <c r="H14" s="4">
        <f t="shared" si="1"/>
        <v>14</v>
      </c>
      <c r="I14" s="27">
        <f>CEILING(SUM(LARGE(J14:BI14,{1,2,3,4,5})),1)</f>
        <v>1938</v>
      </c>
      <c r="J14" s="14">
        <f>ZLL*F</f>
        <v>154</v>
      </c>
      <c r="K14" s="3">
        <f>ZDD*F</f>
        <v>374.00000000000006</v>
      </c>
      <c r="L14" s="3">
        <f>ZEE</f>
        <v>530</v>
      </c>
      <c r="M14" s="3">
        <f>ZC*F</f>
        <v>440.00000000000006</v>
      </c>
      <c r="N14" s="7">
        <f>ZPP*F</f>
        <v>440.00000000000006</v>
      </c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</row>
    <row r="15" spans="2:70" ht="21" x14ac:dyDescent="0.35">
      <c r="B15" s="4" t="s">
        <v>24</v>
      </c>
      <c r="C15" s="26" t="s">
        <v>114</v>
      </c>
      <c r="D15" s="2" t="s">
        <v>65</v>
      </c>
      <c r="E15" s="28" t="s">
        <v>12</v>
      </c>
      <c r="F15" s="2" t="s">
        <v>186</v>
      </c>
      <c r="G15" s="40" t="str">
        <f t="shared" si="0"/>
        <v>MB</v>
      </c>
      <c r="H15" s="4">
        <f t="shared" si="1"/>
        <v>66</v>
      </c>
      <c r="I15" s="27">
        <f>CEILING(SUM(LARGE(J15:BI15,{1,2,3,4,5})),1)</f>
        <v>758</v>
      </c>
      <c r="J15" s="14">
        <f>ZX*F</f>
        <v>328.90000000000003</v>
      </c>
      <c r="K15" s="3">
        <f>ZO*F</f>
        <v>429.00000000000006</v>
      </c>
      <c r="L15" s="3">
        <v>0</v>
      </c>
      <c r="M15" s="3">
        <v>0</v>
      </c>
      <c r="N15" s="7">
        <v>0</v>
      </c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</row>
    <row r="16" spans="2:70" ht="21" x14ac:dyDescent="0.35">
      <c r="B16" s="4" t="s">
        <v>24</v>
      </c>
      <c r="C16" s="27" t="s">
        <v>129</v>
      </c>
      <c r="D16" s="38" t="s">
        <v>65</v>
      </c>
      <c r="E16" s="28" t="s">
        <v>12</v>
      </c>
      <c r="F16" s="39" t="s">
        <v>131</v>
      </c>
      <c r="G16" s="40" t="str">
        <f t="shared" si="0"/>
        <v>MB</v>
      </c>
      <c r="H16" s="4">
        <f t="shared" si="1"/>
        <v>78</v>
      </c>
      <c r="I16" s="27">
        <f>CEILING(SUM(LARGE(J16:BI16,{1,2,3,4,5})),1)</f>
        <v>484</v>
      </c>
      <c r="J16" s="14">
        <f>ZA*F</f>
        <v>55.000000000000007</v>
      </c>
      <c r="K16" s="3">
        <f>ZV*F</f>
        <v>99.000000000000014</v>
      </c>
      <c r="L16" s="3">
        <f>ZLL*F</f>
        <v>154</v>
      </c>
      <c r="M16" s="3">
        <f>ZBB*F</f>
        <v>176</v>
      </c>
      <c r="N16" s="7">
        <v>0</v>
      </c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</row>
    <row r="17" spans="2:70" ht="21" x14ac:dyDescent="0.35">
      <c r="B17" s="4" t="s">
        <v>24</v>
      </c>
      <c r="C17" s="27" t="s">
        <v>144</v>
      </c>
      <c r="D17" s="38" t="s">
        <v>69</v>
      </c>
      <c r="E17" s="28" t="s">
        <v>22</v>
      </c>
      <c r="F17" s="39" t="s">
        <v>146</v>
      </c>
      <c r="G17" s="40" t="str">
        <f t="shared" si="0"/>
        <v>WB</v>
      </c>
      <c r="H17" s="4">
        <f t="shared" si="1"/>
        <v>82</v>
      </c>
      <c r="I17" s="27">
        <f>CEILING(SUM(LARGE(J17:BI17,{1,2,3,4,5})),1)</f>
        <v>274</v>
      </c>
      <c r="J17" s="14">
        <f>ZA*F</f>
        <v>55.000000000000007</v>
      </c>
      <c r="K17" s="3">
        <f>ZV*F</f>
        <v>99.000000000000014</v>
      </c>
      <c r="L17" s="3">
        <f>ZN</f>
        <v>120</v>
      </c>
      <c r="M17" s="3">
        <v>0</v>
      </c>
      <c r="N17" s="7">
        <v>0</v>
      </c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</row>
    <row r="18" spans="2:70" ht="21" x14ac:dyDescent="0.35">
      <c r="B18" s="4" t="s">
        <v>24</v>
      </c>
      <c r="C18" s="27" t="s">
        <v>114</v>
      </c>
      <c r="D18" s="38" t="s">
        <v>66</v>
      </c>
      <c r="E18" s="28" t="s">
        <v>12</v>
      </c>
      <c r="F18" s="39" t="s">
        <v>141</v>
      </c>
      <c r="G18" s="40" t="str">
        <f t="shared" si="0"/>
        <v>MB</v>
      </c>
      <c r="H18" s="4">
        <f t="shared" si="1"/>
        <v>60</v>
      </c>
      <c r="I18" s="27">
        <f>CEILING(SUM(LARGE(J18:BI18,{1,2,3,4,5})),1)</f>
        <v>812</v>
      </c>
      <c r="J18" s="14">
        <f>ZA*F</f>
        <v>55.000000000000007</v>
      </c>
      <c r="K18" s="3">
        <f>ZF*F</f>
        <v>110.00000000000001</v>
      </c>
      <c r="L18" s="3">
        <f>ZN*F</f>
        <v>132</v>
      </c>
      <c r="M18" s="3">
        <f>ZLL*F</f>
        <v>154</v>
      </c>
      <c r="N18" s="7">
        <f>ZBB*F</f>
        <v>176</v>
      </c>
      <c r="O18" s="4">
        <f>ZU</f>
        <v>240</v>
      </c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</row>
    <row r="19" spans="2:70" ht="21" x14ac:dyDescent="0.35">
      <c r="B19" s="4" t="s">
        <v>24</v>
      </c>
      <c r="C19" s="26" t="s">
        <v>183</v>
      </c>
      <c r="D19" s="2" t="s">
        <v>68</v>
      </c>
      <c r="E19" s="28" t="s">
        <v>22</v>
      </c>
      <c r="F19" s="2" t="s">
        <v>182</v>
      </c>
      <c r="G19" s="40" t="str">
        <f t="shared" si="0"/>
        <v>WI</v>
      </c>
      <c r="H19" s="4">
        <f t="shared" si="1"/>
        <v>37</v>
      </c>
      <c r="I19" s="27">
        <f>CEILING(SUM(LARGE(J19:BI19,{1,2,3,4,5})),1)</f>
        <v>1145</v>
      </c>
      <c r="J19" s="14">
        <f>ZV*F</f>
        <v>99.000000000000014</v>
      </c>
      <c r="K19" s="3">
        <f>ZN*F</f>
        <v>132</v>
      </c>
      <c r="L19" s="3">
        <f>ZU*F</f>
        <v>264</v>
      </c>
      <c r="M19" s="3">
        <f>ZG*F</f>
        <v>198.00000000000003</v>
      </c>
      <c r="N19" s="7">
        <f>ZD</f>
        <v>210</v>
      </c>
      <c r="O19" s="4">
        <f>ZHH*F</f>
        <v>220.00000000000003</v>
      </c>
      <c r="P19" s="4">
        <f>ZOO*F</f>
        <v>253.00000000000003</v>
      </c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</row>
    <row r="20" spans="2:70" ht="21" x14ac:dyDescent="0.35">
      <c r="B20" s="4" t="s">
        <v>24</v>
      </c>
      <c r="C20" s="26" t="s">
        <v>114</v>
      </c>
      <c r="D20" s="2" t="s">
        <v>65</v>
      </c>
      <c r="E20" s="28" t="s">
        <v>12</v>
      </c>
      <c r="F20" s="2" t="s">
        <v>195</v>
      </c>
      <c r="G20" s="40" t="str">
        <f t="shared" si="0"/>
        <v>MB</v>
      </c>
      <c r="H20" s="4">
        <f t="shared" si="1"/>
        <v>50</v>
      </c>
      <c r="I20" s="27">
        <f>CEILING(SUM(LARGE(J20:BI20,{1,2,3,4,5})),1)</f>
        <v>953</v>
      </c>
      <c r="J20" s="14">
        <f>ZU*F</f>
        <v>264</v>
      </c>
      <c r="K20" s="3">
        <f>ZX</f>
        <v>299</v>
      </c>
      <c r="L20" s="3">
        <f>ZO</f>
        <v>390</v>
      </c>
      <c r="M20" s="3">
        <v>0</v>
      </c>
      <c r="N20" s="7">
        <v>0</v>
      </c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</row>
    <row r="21" spans="2:70" ht="21" x14ac:dyDescent="0.35">
      <c r="B21" s="4" t="s">
        <v>24</v>
      </c>
      <c r="C21" s="26" t="s">
        <v>114</v>
      </c>
      <c r="D21" s="2" t="s">
        <v>65</v>
      </c>
      <c r="E21" s="28" t="s">
        <v>12</v>
      </c>
      <c r="F21" s="2" t="s">
        <v>158</v>
      </c>
      <c r="G21" s="40" t="str">
        <f t="shared" si="0"/>
        <v>MI</v>
      </c>
      <c r="H21" s="4">
        <f t="shared" si="1"/>
        <v>26</v>
      </c>
      <c r="I21" s="27">
        <f>CEILING(SUM(LARGE(J21:BI21,{1,2,3,4,5})),1)</f>
        <v>1569</v>
      </c>
      <c r="J21" s="14">
        <f>ZZ*F</f>
        <v>495.00000000000006</v>
      </c>
      <c r="K21" s="3">
        <f>ZDD</f>
        <v>340</v>
      </c>
      <c r="L21" s="3">
        <f>ZGG*F</f>
        <v>374.00000000000006</v>
      </c>
      <c r="M21" s="3">
        <f>ZKK</f>
        <v>360</v>
      </c>
      <c r="N21" s="7">
        <v>0</v>
      </c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</row>
    <row r="22" spans="2:70" ht="21" x14ac:dyDescent="0.35">
      <c r="B22" s="4" t="s">
        <v>24</v>
      </c>
      <c r="C22" s="2" t="s">
        <v>114</v>
      </c>
      <c r="D22" s="44" t="s">
        <v>66</v>
      </c>
      <c r="E22" s="2" t="s">
        <v>12</v>
      </c>
      <c r="F22" s="55" t="s">
        <v>159</v>
      </c>
      <c r="G22" s="41" t="str">
        <f t="shared" si="0"/>
        <v>MB</v>
      </c>
      <c r="H22" s="4">
        <f t="shared" si="1"/>
        <v>80</v>
      </c>
      <c r="I22" s="27">
        <f>CEILING(SUM(LARGE(J22:BI22,{1,2,3,4,5})),1)</f>
        <v>396</v>
      </c>
      <c r="J22" s="14">
        <f>ZA*F</f>
        <v>55.000000000000007</v>
      </c>
      <c r="K22" s="3">
        <f>ZF*F</f>
        <v>110.00000000000001</v>
      </c>
      <c r="L22" s="3">
        <f>ZV*F</f>
        <v>99.000000000000014</v>
      </c>
      <c r="M22" s="3">
        <f>ZN*F</f>
        <v>132</v>
      </c>
      <c r="N22" s="7">
        <v>0</v>
      </c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</row>
    <row r="23" spans="2:70" ht="21" x14ac:dyDescent="0.35">
      <c r="B23" s="4" t="s">
        <v>147</v>
      </c>
      <c r="C23" s="4" t="s">
        <v>144</v>
      </c>
      <c r="D23" s="4" t="s">
        <v>66</v>
      </c>
      <c r="E23" s="26" t="s">
        <v>12</v>
      </c>
      <c r="F23" s="2" t="s">
        <v>149</v>
      </c>
      <c r="G23" s="40" t="str">
        <f t="shared" si="0"/>
        <v>MB</v>
      </c>
      <c r="H23" s="4">
        <f t="shared" si="1"/>
        <v>42</v>
      </c>
      <c r="I23" s="27">
        <f>CEILING(SUM(LARGE(J23:BI23,{1,2,3,4,5})),1)</f>
        <v>1089</v>
      </c>
      <c r="J23" s="14">
        <f>ZG*F</f>
        <v>198.00000000000003</v>
      </c>
      <c r="K23" s="3">
        <f>ZU*F</f>
        <v>264</v>
      </c>
      <c r="L23" s="3">
        <f>ZLL*F</f>
        <v>154</v>
      </c>
      <c r="M23" s="3">
        <f>ZHH*F</f>
        <v>220.00000000000003</v>
      </c>
      <c r="N23" s="7">
        <f>ZOO*F</f>
        <v>253.00000000000003</v>
      </c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</row>
    <row r="24" spans="2:70" ht="21" x14ac:dyDescent="0.35">
      <c r="B24" s="4" t="s">
        <v>24</v>
      </c>
      <c r="C24" s="2" t="s">
        <v>183</v>
      </c>
      <c r="D24" s="2" t="s">
        <v>65</v>
      </c>
      <c r="E24" s="26" t="s">
        <v>12</v>
      </c>
      <c r="F24" s="2" t="s">
        <v>219</v>
      </c>
      <c r="G24" s="40" t="str">
        <f t="shared" si="0"/>
        <v>MI</v>
      </c>
      <c r="H24" s="4">
        <f t="shared" si="1"/>
        <v>28</v>
      </c>
      <c r="I24" s="27">
        <f>CEILING(SUM(LARGE(J24:BI24,{1,2,3,4,5})),1)</f>
        <v>1523</v>
      </c>
      <c r="J24" s="14">
        <f>ZX*F</f>
        <v>328.90000000000003</v>
      </c>
      <c r="K24" s="3">
        <f>ZC</f>
        <v>400</v>
      </c>
      <c r="L24" s="3">
        <f>ZJJ</f>
        <v>420</v>
      </c>
      <c r="M24" s="3">
        <f>ZDD*F</f>
        <v>374.00000000000006</v>
      </c>
      <c r="N24" s="7">
        <v>0</v>
      </c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</row>
    <row r="25" spans="2:70" ht="21" x14ac:dyDescent="0.35">
      <c r="B25" s="4" t="s">
        <v>24</v>
      </c>
      <c r="C25" s="2" t="s">
        <v>114</v>
      </c>
      <c r="D25" s="2" t="s">
        <v>65</v>
      </c>
      <c r="E25" s="26" t="s">
        <v>12</v>
      </c>
      <c r="F25" s="2" t="s">
        <v>193</v>
      </c>
      <c r="G25" s="40" t="str">
        <f t="shared" si="0"/>
        <v>MI</v>
      </c>
      <c r="H25" s="4">
        <f t="shared" si="1"/>
        <v>10</v>
      </c>
      <c r="I25" s="27">
        <f>CEILING(SUM(LARGE(J25:BI25,{1,2,3,4,5})),1)</f>
        <v>2076</v>
      </c>
      <c r="J25" s="14">
        <f>ZB</f>
        <v>350</v>
      </c>
      <c r="K25" s="3">
        <f>ZC*F</f>
        <v>440.00000000000006</v>
      </c>
      <c r="L25" s="3">
        <f>ZGG*F</f>
        <v>374.00000000000006</v>
      </c>
      <c r="M25" s="3">
        <f>ZJJ*F</f>
        <v>462.00000000000006</v>
      </c>
      <c r="N25" s="7">
        <f>ZZ</f>
        <v>450</v>
      </c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</row>
    <row r="26" spans="2:70" ht="21" x14ac:dyDescent="0.35">
      <c r="B26" s="4" t="s">
        <v>24</v>
      </c>
      <c r="C26" s="2" t="s">
        <v>114</v>
      </c>
      <c r="D26" s="2" t="s">
        <v>64</v>
      </c>
      <c r="E26" s="26" t="s">
        <v>12</v>
      </c>
      <c r="F26" s="2" t="s">
        <v>201</v>
      </c>
      <c r="G26" s="40" t="str">
        <f t="shared" si="0"/>
        <v>MA</v>
      </c>
      <c r="H26" s="4">
        <f t="shared" si="1"/>
        <v>8</v>
      </c>
      <c r="I26" s="27">
        <f>CEILING(SUM(LARGE(J26:BI26,{1,2,3,4,5})),1)</f>
        <v>2255</v>
      </c>
      <c r="J26" s="14">
        <f>ZEE*F</f>
        <v>583</v>
      </c>
      <c r="K26" s="3">
        <f>ZJJ*F</f>
        <v>462.00000000000006</v>
      </c>
      <c r="L26" s="3">
        <f>ZKK*F</f>
        <v>396.00000000000006</v>
      </c>
      <c r="M26" s="3">
        <f>ZDD*F</f>
        <v>374.00000000000006</v>
      </c>
      <c r="N26" s="7">
        <f>ZC*F</f>
        <v>440.00000000000006</v>
      </c>
      <c r="O26" s="4">
        <f>ZOO*F</f>
        <v>253.00000000000003</v>
      </c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</row>
    <row r="27" spans="2:70" ht="21" x14ac:dyDescent="0.35">
      <c r="B27" s="4" t="s">
        <v>24</v>
      </c>
      <c r="C27" s="2" t="s">
        <v>114</v>
      </c>
      <c r="D27" s="38" t="s">
        <v>69</v>
      </c>
      <c r="E27" s="2" t="s">
        <v>22</v>
      </c>
      <c r="F27" s="43" t="s">
        <v>137</v>
      </c>
      <c r="G27" s="41" t="str">
        <f t="shared" si="0"/>
        <v>WB</v>
      </c>
      <c r="H27" s="4">
        <f t="shared" si="1"/>
        <v>74</v>
      </c>
      <c r="I27" s="27">
        <f>CEILING(SUM(LARGE(J27:BI27,{1,2,3,4,5})),1)</f>
        <v>560</v>
      </c>
      <c r="J27" s="14">
        <f>ZA*F</f>
        <v>55.000000000000007</v>
      </c>
      <c r="K27" s="3">
        <f>ZG*F</f>
        <v>198.00000000000003</v>
      </c>
      <c r="L27" s="3">
        <f>ZV*F</f>
        <v>99.000000000000014</v>
      </c>
      <c r="M27" s="3">
        <f>ZN</f>
        <v>120</v>
      </c>
      <c r="N27" s="7">
        <f>ZFF*F</f>
        <v>88</v>
      </c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4"/>
      <c r="AC27" s="4"/>
      <c r="AD27" s="4"/>
      <c r="AE27" s="4"/>
      <c r="AF27" s="4"/>
      <c r="AG27" s="4"/>
      <c r="AH27" s="4"/>
      <c r="AI27" s="4"/>
      <c r="AJ27" s="4"/>
      <c r="AK27" s="4"/>
      <c r="AL27" s="4"/>
      <c r="AM27" s="4"/>
      <c r="AN27" s="4"/>
      <c r="AO27" s="4"/>
      <c r="AP27" s="4"/>
      <c r="AQ27" s="4"/>
      <c r="AR27" s="4"/>
      <c r="AS27" s="4"/>
      <c r="AT27" s="4"/>
      <c r="AU27" s="4"/>
      <c r="AV27" s="4"/>
      <c r="AW27" s="4"/>
      <c r="AX27" s="4"/>
      <c r="AY27" s="4"/>
      <c r="AZ27" s="4"/>
      <c r="BA27" s="4"/>
      <c r="BB27" s="4"/>
      <c r="BC27" s="4"/>
      <c r="BD27" s="4"/>
      <c r="BE27" s="4"/>
      <c r="BF27" s="4"/>
      <c r="BG27" s="4"/>
      <c r="BH27" s="4"/>
      <c r="BI27" s="4"/>
      <c r="BJ27" s="4"/>
      <c r="BK27" s="4"/>
      <c r="BL27" s="4"/>
      <c r="BM27" s="4"/>
      <c r="BN27" s="4"/>
      <c r="BO27" s="4"/>
      <c r="BP27" s="4"/>
      <c r="BQ27" s="4"/>
      <c r="BR27" s="4"/>
    </row>
    <row r="28" spans="2:70" ht="21" x14ac:dyDescent="0.35">
      <c r="B28" s="4" t="s">
        <v>24</v>
      </c>
      <c r="C28" s="2" t="s">
        <v>114</v>
      </c>
      <c r="D28" s="2" t="s">
        <v>65</v>
      </c>
      <c r="E28" s="2" t="s">
        <v>12</v>
      </c>
      <c r="F28" s="2" t="s">
        <v>179</v>
      </c>
      <c r="G28" s="41" t="str">
        <f t="shared" si="0"/>
        <v>MB</v>
      </c>
      <c r="H28" s="4">
        <f t="shared" si="1"/>
        <v>76</v>
      </c>
      <c r="I28" s="27">
        <f>CEILING(SUM(LARGE(J28:BI28,{1,2,3,4,5})),1)</f>
        <v>524</v>
      </c>
      <c r="J28" s="14">
        <f>ZLL*F</f>
        <v>154</v>
      </c>
      <c r="K28" s="3">
        <f>ZW</f>
        <v>370</v>
      </c>
      <c r="L28" s="3">
        <v>0</v>
      </c>
      <c r="M28" s="3">
        <v>0</v>
      </c>
      <c r="N28" s="7">
        <v>0</v>
      </c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  <c r="AA28" s="4"/>
      <c r="AB28" s="4"/>
      <c r="AC28" s="4"/>
      <c r="AD28" s="4"/>
      <c r="AE28" s="4"/>
      <c r="AF28" s="4"/>
      <c r="AG28" s="4"/>
      <c r="AH28" s="4"/>
      <c r="AI28" s="4"/>
      <c r="AJ28" s="4"/>
      <c r="AK28" s="4"/>
      <c r="AL28" s="4"/>
      <c r="AM28" s="4"/>
      <c r="AN28" s="4"/>
      <c r="AO28" s="4"/>
      <c r="AP28" s="4"/>
      <c r="AQ28" s="4"/>
      <c r="AR28" s="4"/>
      <c r="AS28" s="4"/>
      <c r="AT28" s="4"/>
      <c r="AU28" s="4"/>
      <c r="AV28" s="4"/>
      <c r="AW28" s="4"/>
      <c r="AX28" s="4"/>
      <c r="AY28" s="4"/>
      <c r="AZ28" s="4"/>
      <c r="BA28" s="4"/>
      <c r="BB28" s="4"/>
      <c r="BC28" s="4"/>
      <c r="BD28" s="4"/>
      <c r="BE28" s="4"/>
      <c r="BF28" s="4"/>
      <c r="BG28" s="4"/>
      <c r="BH28" s="4"/>
      <c r="BI28" s="4"/>
      <c r="BJ28" s="4"/>
      <c r="BK28" s="4"/>
      <c r="BL28" s="4"/>
      <c r="BM28" s="4"/>
      <c r="BN28" s="4"/>
      <c r="BO28" s="4"/>
      <c r="BP28" s="4"/>
      <c r="BQ28" s="4"/>
      <c r="BR28" s="4"/>
    </row>
    <row r="29" spans="2:70" ht="21" x14ac:dyDescent="0.35">
      <c r="B29" s="4" t="s">
        <v>24</v>
      </c>
      <c r="C29" s="2" t="s">
        <v>114</v>
      </c>
      <c r="D29" s="38" t="s">
        <v>66</v>
      </c>
      <c r="E29" s="2" t="s">
        <v>12</v>
      </c>
      <c r="F29" s="39" t="s">
        <v>120</v>
      </c>
      <c r="G29" s="41" t="str">
        <f t="shared" si="0"/>
        <v>MB</v>
      </c>
      <c r="H29" s="4">
        <f t="shared" si="1"/>
        <v>70</v>
      </c>
      <c r="I29" s="27">
        <f>CEILING(SUM(LARGE(J29:BI29,{1,2,3,4,5})),1)</f>
        <v>671</v>
      </c>
      <c r="J29" s="14">
        <f>ZH*F</f>
        <v>77</v>
      </c>
      <c r="K29" s="3">
        <f>ZF*F</f>
        <v>110.00000000000001</v>
      </c>
      <c r="L29" s="3">
        <f>ZN*F</f>
        <v>132</v>
      </c>
      <c r="M29" s="3">
        <f>ZLL*F</f>
        <v>154</v>
      </c>
      <c r="N29" s="7">
        <f>ZBB*F</f>
        <v>176</v>
      </c>
      <c r="O29" s="4">
        <f>ZA</f>
        <v>50</v>
      </c>
      <c r="P29" s="4">
        <f>ZV*F</f>
        <v>99.000000000000014</v>
      </c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  <c r="AK29" s="4"/>
      <c r="AL29" s="4"/>
      <c r="AM29" s="4"/>
      <c r="AN29" s="4"/>
      <c r="AO29" s="4"/>
      <c r="AP29" s="4"/>
      <c r="AQ29" s="4"/>
      <c r="AR29" s="4"/>
      <c r="AS29" s="4"/>
      <c r="AT29" s="4"/>
      <c r="AU29" s="4"/>
      <c r="AV29" s="4"/>
      <c r="AW29" s="4"/>
      <c r="AX29" s="4"/>
      <c r="AY29" s="4"/>
      <c r="AZ29" s="4"/>
      <c r="BA29" s="4"/>
      <c r="BB29" s="4"/>
      <c r="BC29" s="4"/>
      <c r="BD29" s="4"/>
      <c r="BE29" s="4"/>
      <c r="BF29" s="4"/>
      <c r="BG29" s="4"/>
      <c r="BH29" s="4"/>
      <c r="BI29" s="4"/>
      <c r="BJ29" s="4"/>
      <c r="BK29" s="4"/>
      <c r="BL29" s="4"/>
      <c r="BM29" s="4"/>
      <c r="BN29" s="4"/>
      <c r="BO29" s="4"/>
      <c r="BP29" s="4"/>
      <c r="BQ29" s="4"/>
      <c r="BR29" s="4"/>
    </row>
    <row r="30" spans="2:70" ht="21" x14ac:dyDescent="0.35">
      <c r="B30" s="4" t="s">
        <v>24</v>
      </c>
      <c r="C30" s="4" t="s">
        <v>114</v>
      </c>
      <c r="D30" s="38" t="s">
        <v>66</v>
      </c>
      <c r="E30" s="2" t="s">
        <v>12</v>
      </c>
      <c r="F30" s="39" t="s">
        <v>124</v>
      </c>
      <c r="G30" s="41" t="str">
        <f t="shared" si="0"/>
        <v>MB</v>
      </c>
      <c r="H30" s="4">
        <f t="shared" si="1"/>
        <v>56</v>
      </c>
      <c r="I30" s="27">
        <f>CEILING(SUM(LARGE(J30:BI30,{1,2,3,4,5})),1)</f>
        <v>842</v>
      </c>
      <c r="J30" s="14">
        <f>ZA*F</f>
        <v>55.000000000000007</v>
      </c>
      <c r="K30" s="3">
        <f>ZF*F</f>
        <v>110.00000000000001</v>
      </c>
      <c r="L30" s="3">
        <f>ZV*F</f>
        <v>99.000000000000014</v>
      </c>
      <c r="M30" s="3">
        <f>ZN*F</f>
        <v>132</v>
      </c>
      <c r="N30" s="7">
        <f>ZBB*F</f>
        <v>176</v>
      </c>
      <c r="O30" s="4">
        <f>ZG</f>
        <v>180</v>
      </c>
      <c r="P30" s="4">
        <f>ZLL*F</f>
        <v>154</v>
      </c>
      <c r="Q30" s="4">
        <f>ZHH</f>
        <v>200</v>
      </c>
      <c r="R30" s="4">
        <f>ZFF*F</f>
        <v>88</v>
      </c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  <c r="AK30" s="4"/>
      <c r="AL30" s="4"/>
      <c r="AM30" s="4"/>
      <c r="AN30" s="4"/>
      <c r="AO30" s="4"/>
      <c r="AP30" s="4"/>
      <c r="AQ30" s="4"/>
      <c r="AR30" s="4"/>
      <c r="AS30" s="4"/>
      <c r="AT30" s="4"/>
      <c r="AU30" s="4"/>
      <c r="AV30" s="4"/>
      <c r="AW30" s="4"/>
      <c r="AX30" s="4"/>
      <c r="AY30" s="4"/>
      <c r="AZ30" s="4"/>
      <c r="BA30" s="4"/>
      <c r="BB30" s="4"/>
      <c r="BC30" s="4"/>
      <c r="BD30" s="4"/>
      <c r="BE30" s="4"/>
      <c r="BF30" s="4"/>
      <c r="BG30" s="4"/>
      <c r="BH30" s="4"/>
      <c r="BI30" s="4"/>
      <c r="BJ30" s="4"/>
      <c r="BK30" s="4"/>
      <c r="BL30" s="4"/>
      <c r="BM30" s="4"/>
      <c r="BN30" s="4"/>
      <c r="BO30" s="4"/>
      <c r="BP30" s="4"/>
      <c r="BQ30" s="4"/>
      <c r="BR30" s="4"/>
    </row>
    <row r="31" spans="2:70" ht="21" x14ac:dyDescent="0.35">
      <c r="B31" s="4" t="s">
        <v>24</v>
      </c>
      <c r="C31" s="2" t="s">
        <v>144</v>
      </c>
      <c r="D31" s="2" t="s">
        <v>66</v>
      </c>
      <c r="E31" s="2" t="s">
        <v>12</v>
      </c>
      <c r="F31" s="2" t="s">
        <v>150</v>
      </c>
      <c r="G31" s="41" t="str">
        <f t="shared" si="0"/>
        <v>MB</v>
      </c>
      <c r="H31" s="4">
        <f t="shared" si="1"/>
        <v>39</v>
      </c>
      <c r="I31" s="27">
        <f>CEILING(SUM(LARGE(J31:BI31,{1,2,3,4,5})),1)</f>
        <v>1111</v>
      </c>
      <c r="J31" s="14">
        <f>ZU*F</f>
        <v>264</v>
      </c>
      <c r="K31" s="3">
        <f>ZLL*F</f>
        <v>154</v>
      </c>
      <c r="L31" s="3">
        <f>ZBB*F</f>
        <v>176</v>
      </c>
      <c r="M31" s="3">
        <f>ZHH*F</f>
        <v>220.00000000000003</v>
      </c>
      <c r="N31" s="7">
        <f>ZOO*F</f>
        <v>253.00000000000003</v>
      </c>
      <c r="O31" s="4">
        <f>ZG*F</f>
        <v>198.00000000000003</v>
      </c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  <c r="AA31" s="4"/>
      <c r="AB31" s="4"/>
      <c r="AC31" s="4"/>
      <c r="AD31" s="4"/>
      <c r="AE31" s="4"/>
      <c r="AF31" s="4"/>
      <c r="AG31" s="4"/>
      <c r="AH31" s="4"/>
      <c r="AI31" s="4"/>
      <c r="AJ31" s="4"/>
      <c r="AK31" s="4"/>
      <c r="AL31" s="4"/>
      <c r="AM31" s="4"/>
      <c r="AN31" s="4"/>
      <c r="AO31" s="4"/>
      <c r="AP31" s="4"/>
      <c r="AQ31" s="4"/>
      <c r="AR31" s="4"/>
      <c r="AS31" s="4"/>
      <c r="AT31" s="4"/>
      <c r="AU31" s="4"/>
      <c r="AV31" s="4"/>
      <c r="AW31" s="4"/>
      <c r="AX31" s="4"/>
      <c r="AY31" s="4"/>
      <c r="AZ31" s="4"/>
      <c r="BA31" s="4"/>
      <c r="BB31" s="4"/>
      <c r="BC31" s="4"/>
      <c r="BD31" s="4"/>
      <c r="BE31" s="4"/>
      <c r="BF31" s="4"/>
      <c r="BG31" s="4"/>
      <c r="BH31" s="4"/>
      <c r="BI31" s="4"/>
      <c r="BJ31" s="4"/>
      <c r="BK31" s="4"/>
      <c r="BL31" s="4"/>
      <c r="BM31" s="4"/>
      <c r="BN31" s="4"/>
      <c r="BO31" s="4"/>
      <c r="BP31" s="4"/>
      <c r="BQ31" s="4"/>
      <c r="BR31" s="4"/>
    </row>
    <row r="32" spans="2:70" ht="21" x14ac:dyDescent="0.35">
      <c r="B32" s="4" t="s">
        <v>24</v>
      </c>
      <c r="C32" s="2" t="s">
        <v>114</v>
      </c>
      <c r="D32" s="2" t="s">
        <v>67</v>
      </c>
      <c r="E32" s="2" t="s">
        <v>22</v>
      </c>
      <c r="F32" s="2" t="s">
        <v>210</v>
      </c>
      <c r="G32" s="41" t="str">
        <f t="shared" si="0"/>
        <v>WA</v>
      </c>
      <c r="H32" s="4">
        <f t="shared" si="1"/>
        <v>7</v>
      </c>
      <c r="I32" s="27">
        <f>CEILING(SUM(LARGE(J32:BI32,{1,2,3,4,5})),1)</f>
        <v>2309</v>
      </c>
      <c r="J32" s="14">
        <f>ZS</f>
        <v>510</v>
      </c>
      <c r="K32" s="3">
        <f>ZC*F</f>
        <v>440.00000000000006</v>
      </c>
      <c r="L32" s="3">
        <f>ZPP</f>
        <v>400</v>
      </c>
      <c r="M32" s="3">
        <f>ZO*F</f>
        <v>429.00000000000006</v>
      </c>
      <c r="N32" s="7">
        <f>ZEE</f>
        <v>530</v>
      </c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4"/>
      <c r="AD32" s="4"/>
      <c r="AE32" s="4"/>
      <c r="AF32" s="4"/>
      <c r="AG32" s="4"/>
      <c r="AH32" s="4"/>
      <c r="AI32" s="4"/>
      <c r="AJ32" s="4"/>
      <c r="AK32" s="4"/>
      <c r="AL32" s="4"/>
      <c r="AM32" s="4"/>
      <c r="AN32" s="4"/>
      <c r="AO32" s="4"/>
      <c r="AP32" s="4"/>
      <c r="AQ32" s="4"/>
      <c r="AR32" s="4"/>
      <c r="AS32" s="4"/>
      <c r="AT32" s="4"/>
      <c r="AU32" s="4"/>
      <c r="AV32" s="4"/>
      <c r="AW32" s="4"/>
      <c r="AX32" s="4"/>
      <c r="AY32" s="4"/>
      <c r="AZ32" s="4"/>
      <c r="BA32" s="4"/>
      <c r="BB32" s="4"/>
      <c r="BC32" s="4"/>
      <c r="BD32" s="4"/>
      <c r="BE32" s="4"/>
      <c r="BF32" s="4"/>
      <c r="BG32" s="4"/>
      <c r="BH32" s="4"/>
      <c r="BI32" s="4"/>
      <c r="BJ32" s="4"/>
      <c r="BK32" s="4"/>
      <c r="BL32" s="4"/>
      <c r="BM32" s="4"/>
      <c r="BN32" s="4"/>
      <c r="BO32" s="4"/>
      <c r="BP32" s="4"/>
      <c r="BQ32" s="4"/>
      <c r="BR32" s="4"/>
    </row>
    <row r="33" spans="2:70" ht="21" x14ac:dyDescent="0.35">
      <c r="B33" s="4" t="s">
        <v>24</v>
      </c>
      <c r="C33" s="2" t="s">
        <v>114</v>
      </c>
      <c r="D33" s="2" t="s">
        <v>66</v>
      </c>
      <c r="E33" s="2" t="s">
        <v>12</v>
      </c>
      <c r="F33" s="2" t="s">
        <v>118</v>
      </c>
      <c r="G33" s="41" t="str">
        <f t="shared" si="0"/>
        <v>MB</v>
      </c>
      <c r="H33" s="4">
        <f t="shared" si="1"/>
        <v>55</v>
      </c>
      <c r="I33" s="27">
        <f>CEILING(SUM(LARGE(J33:BI33,{1,2,3,4,5})),1)</f>
        <v>880</v>
      </c>
      <c r="J33" s="14">
        <f>ZV*F</f>
        <v>99.000000000000014</v>
      </c>
      <c r="K33" s="3">
        <f>ZN*F</f>
        <v>132</v>
      </c>
      <c r="L33" s="3">
        <f>ZU*F</f>
        <v>264</v>
      </c>
      <c r="M33" s="3">
        <f>ZF*F</f>
        <v>110.00000000000001</v>
      </c>
      <c r="N33" s="7">
        <f>ZG*F</f>
        <v>198.00000000000003</v>
      </c>
      <c r="O33" s="4">
        <f>ZBB*F</f>
        <v>176</v>
      </c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4"/>
      <c r="AD33" s="4"/>
      <c r="AE33" s="4"/>
      <c r="AF33" s="4"/>
      <c r="AG33" s="4"/>
      <c r="AH33" s="4"/>
      <c r="AI33" s="4"/>
      <c r="AJ33" s="4"/>
      <c r="AK33" s="4"/>
      <c r="AL33" s="4"/>
      <c r="AM33" s="4"/>
      <c r="AN33" s="4"/>
      <c r="AO33" s="4"/>
      <c r="AP33" s="4"/>
      <c r="AQ33" s="4"/>
      <c r="AR33" s="4"/>
      <c r="AS33" s="4"/>
      <c r="AT33" s="4"/>
      <c r="AU33" s="4"/>
      <c r="AV33" s="4"/>
      <c r="AW33" s="4"/>
      <c r="AX33" s="4"/>
      <c r="AY33" s="4"/>
      <c r="AZ33" s="4"/>
      <c r="BA33" s="4"/>
      <c r="BB33" s="4"/>
      <c r="BC33" s="4"/>
      <c r="BD33" s="4"/>
      <c r="BE33" s="4"/>
      <c r="BF33" s="4"/>
      <c r="BG33" s="4"/>
      <c r="BH33" s="4"/>
      <c r="BI33" s="4"/>
      <c r="BJ33" s="4"/>
      <c r="BK33" s="4"/>
      <c r="BL33" s="4"/>
      <c r="BM33" s="4"/>
      <c r="BN33" s="4"/>
      <c r="BO33" s="4"/>
      <c r="BP33" s="4"/>
      <c r="BQ33" s="4"/>
      <c r="BR33" s="4"/>
    </row>
    <row r="34" spans="2:70" ht="21" x14ac:dyDescent="0.35">
      <c r="B34" s="4" t="s">
        <v>24</v>
      </c>
      <c r="C34" s="2" t="s">
        <v>114</v>
      </c>
      <c r="D34" s="2" t="s">
        <v>66</v>
      </c>
      <c r="E34" s="2" t="s">
        <v>12</v>
      </c>
      <c r="F34" s="2" t="s">
        <v>116</v>
      </c>
      <c r="G34" s="41" t="str">
        <f t="shared" si="0"/>
        <v>MB</v>
      </c>
      <c r="H34" s="4">
        <f t="shared" si="1"/>
        <v>51</v>
      </c>
      <c r="I34" s="27">
        <f>CEILING(SUM(LARGE(J34:BI34,{1,2,3,4,5})),1)</f>
        <v>946</v>
      </c>
      <c r="J34" s="14">
        <f>ZV*F</f>
        <v>99.000000000000014</v>
      </c>
      <c r="K34" s="3">
        <f>ZN*F</f>
        <v>132</v>
      </c>
      <c r="L34" s="3">
        <f>ZU*F</f>
        <v>264</v>
      </c>
      <c r="M34" s="3">
        <f>ZLL*F</f>
        <v>154</v>
      </c>
      <c r="N34" s="7">
        <f>ZBB*F</f>
        <v>176</v>
      </c>
      <c r="O34" s="4">
        <f>ZHH*F</f>
        <v>220.00000000000003</v>
      </c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4"/>
      <c r="AD34" s="4"/>
      <c r="AE34" s="4"/>
      <c r="AF34" s="4"/>
      <c r="AG34" s="4"/>
      <c r="AH34" s="4"/>
      <c r="AI34" s="4"/>
      <c r="AJ34" s="4"/>
      <c r="AK34" s="4"/>
      <c r="AL34" s="4"/>
      <c r="AM34" s="4"/>
      <c r="AN34" s="4"/>
      <c r="AO34" s="4"/>
      <c r="AP34" s="4"/>
      <c r="AQ34" s="4"/>
      <c r="AR34" s="4"/>
      <c r="AS34" s="4"/>
      <c r="AT34" s="4"/>
      <c r="AU34" s="4"/>
      <c r="AV34" s="4"/>
      <c r="AW34" s="4"/>
      <c r="AX34" s="4"/>
      <c r="AY34" s="4"/>
      <c r="AZ34" s="4"/>
      <c r="BA34" s="4"/>
      <c r="BB34" s="4"/>
      <c r="BC34" s="4"/>
      <c r="BD34" s="4"/>
      <c r="BE34" s="4"/>
      <c r="BF34" s="4"/>
      <c r="BG34" s="4"/>
      <c r="BH34" s="4"/>
      <c r="BI34" s="4"/>
      <c r="BJ34" s="4"/>
      <c r="BK34" s="4"/>
      <c r="BL34" s="4"/>
      <c r="BM34" s="4"/>
      <c r="BN34" s="4"/>
      <c r="BO34" s="4"/>
      <c r="BP34" s="4"/>
      <c r="BQ34" s="4"/>
      <c r="BR34" s="4"/>
    </row>
    <row r="35" spans="2:70" ht="21" x14ac:dyDescent="0.35">
      <c r="B35" s="4" t="s">
        <v>24</v>
      </c>
      <c r="C35" s="2" t="s">
        <v>114</v>
      </c>
      <c r="D35" s="38" t="s">
        <v>66</v>
      </c>
      <c r="E35" s="2" t="s">
        <v>12</v>
      </c>
      <c r="F35" s="39" t="s">
        <v>122</v>
      </c>
      <c r="G35" s="41" t="str">
        <f t="shared" si="0"/>
        <v>MB</v>
      </c>
      <c r="H35" s="4">
        <f t="shared" si="1"/>
        <v>72</v>
      </c>
      <c r="I35" s="27">
        <f>CEILING(SUM(LARGE(J35:BI35,{1,2,3,4,5})),1)</f>
        <v>660</v>
      </c>
      <c r="J35" s="14">
        <f>ZG*F</f>
        <v>198.00000000000003</v>
      </c>
      <c r="K35" s="3">
        <f>ZLL*F</f>
        <v>154</v>
      </c>
      <c r="L35" s="3">
        <f>ZBB*F</f>
        <v>176</v>
      </c>
      <c r="M35" s="3">
        <f>ZN*F</f>
        <v>132</v>
      </c>
      <c r="N35" s="7">
        <v>0</v>
      </c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  <c r="AA35" s="4"/>
      <c r="AB35" s="4"/>
      <c r="AC35" s="4"/>
      <c r="AD35" s="4"/>
      <c r="AE35" s="4"/>
      <c r="AF35" s="4"/>
      <c r="AG35" s="4"/>
      <c r="AH35" s="4"/>
      <c r="AI35" s="4"/>
      <c r="AJ35" s="4"/>
      <c r="AK35" s="4"/>
      <c r="AL35" s="4"/>
      <c r="AM35" s="4"/>
      <c r="AN35" s="4"/>
      <c r="AO35" s="4"/>
      <c r="AP35" s="4"/>
      <c r="AQ35" s="4"/>
      <c r="AR35" s="4"/>
      <c r="AS35" s="4"/>
      <c r="AT35" s="4"/>
      <c r="AU35" s="4"/>
      <c r="AV35" s="4"/>
      <c r="AW35" s="4"/>
      <c r="AX35" s="4"/>
      <c r="AY35" s="4"/>
      <c r="AZ35" s="4"/>
      <c r="BA35" s="4"/>
      <c r="BB35" s="4"/>
      <c r="BC35" s="4"/>
      <c r="BD35" s="4"/>
      <c r="BE35" s="4"/>
      <c r="BF35" s="4"/>
      <c r="BG35" s="4"/>
      <c r="BH35" s="4"/>
      <c r="BI35" s="4"/>
      <c r="BJ35" s="4"/>
      <c r="BK35" s="4"/>
      <c r="BL35" s="4"/>
      <c r="BM35" s="4"/>
      <c r="BN35" s="4"/>
      <c r="BO35" s="4"/>
      <c r="BP35" s="4"/>
      <c r="BQ35" s="4"/>
      <c r="BR35" s="4"/>
    </row>
    <row r="36" spans="2:70" ht="21" x14ac:dyDescent="0.35">
      <c r="B36" s="4" t="s">
        <v>24</v>
      </c>
      <c r="C36" s="2" t="s">
        <v>114</v>
      </c>
      <c r="D36" s="2" t="s">
        <v>65</v>
      </c>
      <c r="E36" s="2" t="s">
        <v>12</v>
      </c>
      <c r="F36" s="2" t="s">
        <v>216</v>
      </c>
      <c r="G36" s="41" t="str">
        <f t="shared" ref="G36:G67" si="2">IF(E36=M,IF(I36&lt;=MBP,MB,IF(I36&lt;=MIP,MI,MA)),IF(E36=W,IF(I36&lt;=WBP,WB,IF(I36&lt;=WIP,WI,WA))))</f>
        <v>MI</v>
      </c>
      <c r="H36" s="4">
        <f t="shared" ref="H36:H67" si="3">RANK(I36,$I$4:$I$90,0)</f>
        <v>23</v>
      </c>
      <c r="I36" s="27">
        <f>CEILING(SUM(LARGE(J36:BI36,{1,2,3,4,5})),1)</f>
        <v>1652</v>
      </c>
      <c r="J36" s="14">
        <f>ZX*F</f>
        <v>328.90000000000003</v>
      </c>
      <c r="K36" s="3">
        <f>ZO</f>
        <v>390</v>
      </c>
      <c r="L36" s="3">
        <f>ZDD</f>
        <v>340</v>
      </c>
      <c r="M36" s="3">
        <f>ZGG</f>
        <v>340</v>
      </c>
      <c r="N36" s="7">
        <f>ZOO*F</f>
        <v>253.00000000000003</v>
      </c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  <c r="AA36" s="4"/>
      <c r="AB36" s="4"/>
      <c r="AC36" s="4"/>
      <c r="AD36" s="4"/>
      <c r="AE36" s="4"/>
      <c r="AF36" s="4"/>
      <c r="AG36" s="4"/>
      <c r="AH36" s="4"/>
      <c r="AI36" s="4"/>
      <c r="AJ36" s="4"/>
      <c r="AK36" s="4"/>
      <c r="AL36" s="4"/>
      <c r="AM36" s="4"/>
      <c r="AN36" s="4"/>
      <c r="AO36" s="4"/>
      <c r="AP36" s="4"/>
      <c r="AQ36" s="4"/>
      <c r="AR36" s="4"/>
      <c r="AS36" s="4"/>
      <c r="AT36" s="4"/>
      <c r="AU36" s="4"/>
      <c r="AV36" s="4"/>
      <c r="AW36" s="4"/>
      <c r="AX36" s="4"/>
      <c r="AY36" s="4"/>
      <c r="AZ36" s="4"/>
      <c r="BA36" s="4"/>
      <c r="BB36" s="4"/>
      <c r="BC36" s="4"/>
      <c r="BD36" s="4"/>
      <c r="BE36" s="4"/>
      <c r="BF36" s="4"/>
      <c r="BG36" s="4"/>
      <c r="BH36" s="4"/>
      <c r="BI36" s="4"/>
      <c r="BJ36" s="4"/>
      <c r="BK36" s="4"/>
      <c r="BL36" s="4"/>
      <c r="BM36" s="4"/>
      <c r="BN36" s="4"/>
      <c r="BO36" s="4"/>
      <c r="BP36" s="4"/>
      <c r="BQ36" s="4"/>
      <c r="BR36" s="4"/>
    </row>
    <row r="37" spans="2:70" ht="21" x14ac:dyDescent="0.35">
      <c r="B37" s="4" t="s">
        <v>24</v>
      </c>
      <c r="C37" s="2" t="s">
        <v>114</v>
      </c>
      <c r="D37" s="2" t="s">
        <v>64</v>
      </c>
      <c r="E37" s="2" t="s">
        <v>12</v>
      </c>
      <c r="F37" s="2" t="s">
        <v>215</v>
      </c>
      <c r="G37" s="41" t="str">
        <f t="shared" si="2"/>
        <v>MA</v>
      </c>
      <c r="H37" s="4">
        <f t="shared" si="3"/>
        <v>4</v>
      </c>
      <c r="I37" s="27">
        <f>CEILING(SUM(LARGE(J37:BI37,{1,2,3,4,5})),1)</f>
        <v>2554</v>
      </c>
      <c r="J37" s="14">
        <f>ZMM</f>
        <v>570</v>
      </c>
      <c r="K37" s="3">
        <f>ZS*F</f>
        <v>561</v>
      </c>
      <c r="L37" s="3">
        <f>ZX*F</f>
        <v>328.90000000000003</v>
      </c>
      <c r="M37" s="3">
        <f>ZEE*F</f>
        <v>583</v>
      </c>
      <c r="N37" s="7">
        <f>ZC*F</f>
        <v>440.00000000000006</v>
      </c>
      <c r="O37" s="4">
        <f>ZPP</f>
        <v>400</v>
      </c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  <c r="AA37" s="4"/>
      <c r="AB37" s="4"/>
      <c r="AC37" s="4"/>
      <c r="AD37" s="4"/>
      <c r="AE37" s="4"/>
      <c r="AF37" s="4"/>
      <c r="AG37" s="4"/>
      <c r="AH37" s="4"/>
      <c r="AI37" s="4"/>
      <c r="AJ37" s="4"/>
      <c r="AK37" s="4"/>
      <c r="AL37" s="4"/>
      <c r="AM37" s="4"/>
      <c r="AN37" s="4"/>
      <c r="AO37" s="4"/>
      <c r="AP37" s="4"/>
      <c r="AQ37" s="4"/>
      <c r="AR37" s="4"/>
      <c r="AS37" s="4"/>
      <c r="AT37" s="4"/>
      <c r="AU37" s="4"/>
      <c r="AV37" s="4"/>
      <c r="AW37" s="4"/>
      <c r="AX37" s="4"/>
      <c r="AY37" s="4"/>
      <c r="AZ37" s="4"/>
      <c r="BA37" s="4"/>
      <c r="BB37" s="4"/>
      <c r="BC37" s="4"/>
      <c r="BD37" s="4"/>
      <c r="BE37" s="4"/>
      <c r="BF37" s="4"/>
      <c r="BG37" s="4"/>
      <c r="BH37" s="4"/>
      <c r="BI37" s="4"/>
      <c r="BJ37" s="4"/>
      <c r="BK37" s="4"/>
      <c r="BL37" s="4"/>
      <c r="BM37" s="4"/>
      <c r="BN37" s="4"/>
      <c r="BO37" s="4"/>
      <c r="BP37" s="4"/>
      <c r="BQ37" s="4"/>
      <c r="BR37" s="4"/>
    </row>
    <row r="38" spans="2:70" ht="21" x14ac:dyDescent="0.35">
      <c r="B38" s="4" t="s">
        <v>24</v>
      </c>
      <c r="C38" s="2" t="s">
        <v>114</v>
      </c>
      <c r="D38" s="2" t="s">
        <v>65</v>
      </c>
      <c r="E38" s="2" t="s">
        <v>12</v>
      </c>
      <c r="F38" s="2" t="s">
        <v>188</v>
      </c>
      <c r="G38" s="41" t="str">
        <f t="shared" si="2"/>
        <v>MB</v>
      </c>
      <c r="H38" s="4">
        <f t="shared" si="3"/>
        <v>81</v>
      </c>
      <c r="I38" s="27">
        <f>CEILING(SUM(LARGE(J38:BI38,{1,2,3,4,5})),1)</f>
        <v>394</v>
      </c>
      <c r="J38" s="14">
        <f>ZU</f>
        <v>240</v>
      </c>
      <c r="K38" s="3">
        <f>ZLL*F</f>
        <v>154</v>
      </c>
      <c r="L38" s="3">
        <v>0</v>
      </c>
      <c r="M38" s="3">
        <v>0</v>
      </c>
      <c r="N38" s="7">
        <v>0</v>
      </c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  <c r="AA38" s="4"/>
      <c r="AB38" s="4"/>
      <c r="AC38" s="4"/>
      <c r="AD38" s="4"/>
      <c r="AE38" s="4"/>
      <c r="AF38" s="4"/>
      <c r="AG38" s="4"/>
      <c r="AH38" s="4"/>
      <c r="AI38" s="4"/>
      <c r="AJ38" s="4"/>
      <c r="AK38" s="4"/>
      <c r="AL38" s="4"/>
      <c r="AM38" s="4"/>
      <c r="AN38" s="4"/>
      <c r="AO38" s="4"/>
      <c r="AP38" s="4"/>
      <c r="AQ38" s="4"/>
      <c r="AR38" s="4"/>
      <c r="AS38" s="4"/>
      <c r="AT38" s="4"/>
      <c r="AU38" s="4"/>
      <c r="AV38" s="4"/>
      <c r="AW38" s="4"/>
      <c r="AX38" s="4"/>
      <c r="AY38" s="4"/>
      <c r="AZ38" s="4"/>
      <c r="BA38" s="4"/>
      <c r="BB38" s="4"/>
      <c r="BC38" s="4"/>
      <c r="BD38" s="4"/>
      <c r="BE38" s="4"/>
      <c r="BF38" s="4"/>
      <c r="BG38" s="4"/>
      <c r="BH38" s="4"/>
      <c r="BI38" s="4"/>
      <c r="BJ38" s="4"/>
      <c r="BK38" s="4"/>
      <c r="BL38" s="4"/>
      <c r="BM38" s="4"/>
      <c r="BN38" s="4"/>
      <c r="BO38" s="4"/>
      <c r="BP38" s="4"/>
      <c r="BQ38" s="4"/>
      <c r="BR38" s="4"/>
    </row>
    <row r="39" spans="2:70" ht="21" x14ac:dyDescent="0.35">
      <c r="B39" s="4" t="s">
        <v>24</v>
      </c>
      <c r="C39" s="4" t="s">
        <v>114</v>
      </c>
      <c r="D39" s="38" t="s">
        <v>65</v>
      </c>
      <c r="E39" s="2" t="s">
        <v>12</v>
      </c>
      <c r="F39" s="39" t="s">
        <v>140</v>
      </c>
      <c r="G39" s="41" t="str">
        <f t="shared" si="2"/>
        <v>MI</v>
      </c>
      <c r="H39" s="4">
        <f t="shared" si="3"/>
        <v>27</v>
      </c>
      <c r="I39" s="27">
        <f>CEILING(SUM(LARGE(J39:BI39,{1,2,3,4,5})),1)</f>
        <v>1530</v>
      </c>
      <c r="J39" s="14">
        <f>ZU*F</f>
        <v>264</v>
      </c>
      <c r="K39" s="3">
        <f>ZX</f>
        <v>299</v>
      </c>
      <c r="L39" s="3">
        <f>ZDD</f>
        <v>340</v>
      </c>
      <c r="M39" s="3">
        <f>ZGG*F</f>
        <v>374.00000000000006</v>
      </c>
      <c r="N39" s="7">
        <f>ZOO*F</f>
        <v>253.00000000000003</v>
      </c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K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4"/>
      <c r="AY39" s="4"/>
      <c r="AZ39" s="4"/>
      <c r="BA39" s="4"/>
      <c r="BB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4"/>
      <c r="BO39" s="4"/>
      <c r="BP39" s="4"/>
      <c r="BQ39" s="4"/>
      <c r="BR39" s="4"/>
    </row>
    <row r="40" spans="2:70" ht="21" x14ac:dyDescent="0.35">
      <c r="B40" s="4" t="s">
        <v>24</v>
      </c>
      <c r="C40" s="2" t="s">
        <v>183</v>
      </c>
      <c r="D40" s="2" t="s">
        <v>65</v>
      </c>
      <c r="E40" s="2" t="s">
        <v>12</v>
      </c>
      <c r="F40" s="2" t="s">
        <v>196</v>
      </c>
      <c r="G40" s="41" t="str">
        <f t="shared" si="2"/>
        <v>MI</v>
      </c>
      <c r="H40" s="4">
        <f t="shared" si="3"/>
        <v>11</v>
      </c>
      <c r="I40" s="27">
        <f>CEILING(SUM(LARGE(J40:BI40,{1,2,3,4,5})),1)</f>
        <v>2074</v>
      </c>
      <c r="J40" s="14">
        <f>ZX*F</f>
        <v>328.90000000000003</v>
      </c>
      <c r="K40" s="3">
        <f>ZO*F</f>
        <v>429.00000000000006</v>
      </c>
      <c r="L40" s="3">
        <f>ZKK*F</f>
        <v>396.00000000000006</v>
      </c>
      <c r="M40" s="3">
        <f>ZC*F</f>
        <v>440.00000000000006</v>
      </c>
      <c r="N40" s="7">
        <f>ZY</f>
        <v>480</v>
      </c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K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4"/>
      <c r="AY40" s="4"/>
      <c r="AZ40" s="4"/>
      <c r="BA40" s="4"/>
      <c r="BB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4"/>
      <c r="BO40" s="4"/>
      <c r="BP40" s="4"/>
      <c r="BQ40" s="4"/>
      <c r="BR40" s="4"/>
    </row>
    <row r="41" spans="2:70" ht="21" x14ac:dyDescent="0.35">
      <c r="B41" s="4" t="s">
        <v>24</v>
      </c>
      <c r="C41" s="2" t="s">
        <v>114</v>
      </c>
      <c r="D41" s="2" t="s">
        <v>66</v>
      </c>
      <c r="E41" s="2" t="s">
        <v>12</v>
      </c>
      <c r="F41" s="2" t="s">
        <v>117</v>
      </c>
      <c r="G41" s="41" t="str">
        <f t="shared" si="2"/>
        <v>MB</v>
      </c>
      <c r="H41" s="4">
        <f t="shared" si="3"/>
        <v>69</v>
      </c>
      <c r="I41" s="27">
        <f>CEILING(SUM(LARGE(J41:BI41,{1,2,3,4,5})),1)</f>
        <v>727</v>
      </c>
      <c r="J41" s="14">
        <f>ZA*F</f>
        <v>55.000000000000007</v>
      </c>
      <c r="K41" s="3">
        <f>ZV*F</f>
        <v>99.000000000000014</v>
      </c>
      <c r="L41" s="3">
        <f>ZN*F</f>
        <v>132</v>
      </c>
      <c r="M41" s="3">
        <f>ZBB*F</f>
        <v>176</v>
      </c>
      <c r="N41" s="7">
        <f>ZG</f>
        <v>180</v>
      </c>
      <c r="O41" s="4">
        <f>ZLL</f>
        <v>140</v>
      </c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K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4"/>
      <c r="AY41" s="4"/>
      <c r="AZ41" s="4"/>
      <c r="BA41" s="4"/>
      <c r="BB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4"/>
      <c r="BO41" s="4"/>
      <c r="BP41" s="4"/>
      <c r="BQ41" s="4"/>
      <c r="BR41" s="4"/>
    </row>
    <row r="42" spans="2:70" ht="21" x14ac:dyDescent="0.35">
      <c r="B42" s="4" t="s">
        <v>24</v>
      </c>
      <c r="C42" s="2" t="s">
        <v>114</v>
      </c>
      <c r="D42" s="2" t="s">
        <v>68</v>
      </c>
      <c r="E42" s="2" t="s">
        <v>22</v>
      </c>
      <c r="F42" s="2" t="s">
        <v>194</v>
      </c>
      <c r="G42" s="41" t="str">
        <f t="shared" si="2"/>
        <v>WI</v>
      </c>
      <c r="H42" s="4">
        <f t="shared" si="3"/>
        <v>39</v>
      </c>
      <c r="I42" s="27">
        <f>CEILING(SUM(LARGE(J42:BI42,{1,2,3,4,5})),1)</f>
        <v>1111</v>
      </c>
      <c r="J42" s="14">
        <f>ZG*F</f>
        <v>198.00000000000003</v>
      </c>
      <c r="K42" s="3">
        <f>ZU*F</f>
        <v>264</v>
      </c>
      <c r="L42" s="3">
        <f>ZLL*F</f>
        <v>154</v>
      </c>
      <c r="M42" s="3">
        <f>ZBB*F</f>
        <v>176</v>
      </c>
      <c r="N42" s="7">
        <f>ZHH*F</f>
        <v>220.00000000000003</v>
      </c>
      <c r="O42" s="4">
        <f>ZOO*F</f>
        <v>253.00000000000003</v>
      </c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  <c r="AA42" s="4"/>
      <c r="AB42" s="4"/>
      <c r="AC42" s="4"/>
      <c r="AD42" s="4"/>
      <c r="AE42" s="4"/>
      <c r="AF42" s="4"/>
      <c r="AG42" s="4"/>
      <c r="AH42" s="4"/>
      <c r="AI42" s="4"/>
      <c r="AJ42" s="4"/>
      <c r="AK42" s="4"/>
      <c r="AL42" s="4"/>
      <c r="AM42" s="4"/>
      <c r="AN42" s="4"/>
      <c r="AO42" s="4"/>
      <c r="AP42" s="4"/>
      <c r="AQ42" s="4"/>
      <c r="AR42" s="4"/>
      <c r="AS42" s="4"/>
      <c r="AT42" s="4"/>
      <c r="AU42" s="4"/>
      <c r="AV42" s="4"/>
      <c r="AW42" s="4"/>
      <c r="AX42" s="4"/>
      <c r="AY42" s="4"/>
      <c r="AZ42" s="4"/>
      <c r="BA42" s="4"/>
      <c r="BB42" s="4"/>
      <c r="BC42" s="4"/>
      <c r="BD42" s="4"/>
      <c r="BE42" s="4"/>
      <c r="BF42" s="4"/>
      <c r="BG42" s="4"/>
      <c r="BH42" s="4"/>
      <c r="BI42" s="4"/>
      <c r="BJ42" s="4"/>
      <c r="BK42" s="4"/>
      <c r="BL42" s="4"/>
      <c r="BM42" s="4"/>
      <c r="BN42" s="4"/>
      <c r="BO42" s="4"/>
      <c r="BP42" s="4"/>
      <c r="BQ42" s="4"/>
      <c r="BR42" s="4"/>
    </row>
    <row r="43" spans="2:70" ht="21" x14ac:dyDescent="0.35">
      <c r="B43" s="4" t="s">
        <v>24</v>
      </c>
      <c r="C43" s="4" t="s">
        <v>114</v>
      </c>
      <c r="D43" s="38" t="s">
        <v>69</v>
      </c>
      <c r="E43" s="2" t="s">
        <v>22</v>
      </c>
      <c r="F43" s="39" t="s">
        <v>125</v>
      </c>
      <c r="G43" s="41" t="str">
        <f t="shared" si="2"/>
        <v>WB</v>
      </c>
      <c r="H43" s="4">
        <f t="shared" si="3"/>
        <v>87</v>
      </c>
      <c r="I43" s="27">
        <f>CEILING(SUM(LARGE(J43:BI43,{1,2,3,4,5})),1)</f>
        <v>55</v>
      </c>
      <c r="J43" s="14">
        <f>ZA*F</f>
        <v>55.000000000000007</v>
      </c>
      <c r="K43" s="3">
        <v>0</v>
      </c>
      <c r="L43" s="3">
        <v>0</v>
      </c>
      <c r="M43" s="3">
        <v>0</v>
      </c>
      <c r="N43" s="7">
        <v>0</v>
      </c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  <c r="AA43" s="4"/>
      <c r="AB43" s="4"/>
      <c r="AC43" s="4"/>
      <c r="AD43" s="4"/>
      <c r="AE43" s="4"/>
      <c r="AF43" s="4"/>
      <c r="AG43" s="4"/>
      <c r="AH43" s="4"/>
      <c r="AI43" s="4"/>
      <c r="AJ43" s="4"/>
      <c r="AK43" s="4"/>
      <c r="AL43" s="4"/>
      <c r="AM43" s="4"/>
      <c r="AN43" s="4"/>
      <c r="AO43" s="4"/>
      <c r="AP43" s="4"/>
      <c r="AQ43" s="4"/>
      <c r="AR43" s="4"/>
      <c r="AS43" s="4"/>
      <c r="AT43" s="4"/>
      <c r="AU43" s="4"/>
      <c r="AV43" s="4"/>
      <c r="AW43" s="4"/>
      <c r="AX43" s="4"/>
      <c r="AY43" s="4"/>
      <c r="AZ43" s="4"/>
      <c r="BA43" s="4"/>
      <c r="BB43" s="4"/>
      <c r="BC43" s="4"/>
      <c r="BD43" s="4"/>
      <c r="BE43" s="4"/>
      <c r="BF43" s="4"/>
      <c r="BG43" s="4"/>
      <c r="BH43" s="4"/>
      <c r="BI43" s="4"/>
      <c r="BJ43" s="4"/>
      <c r="BK43" s="4"/>
      <c r="BL43" s="4"/>
      <c r="BM43" s="4"/>
      <c r="BN43" s="4"/>
      <c r="BO43" s="4"/>
      <c r="BP43" s="4"/>
      <c r="BQ43" s="4"/>
      <c r="BR43" s="4"/>
    </row>
    <row r="44" spans="2:70" ht="21" x14ac:dyDescent="0.35">
      <c r="B44" s="4" t="s">
        <v>24</v>
      </c>
      <c r="C44" s="4" t="s">
        <v>129</v>
      </c>
      <c r="D44" s="38" t="s">
        <v>65</v>
      </c>
      <c r="E44" s="2" t="s">
        <v>12</v>
      </c>
      <c r="F44" s="39" t="s">
        <v>136</v>
      </c>
      <c r="G44" s="41" t="str">
        <f t="shared" si="2"/>
        <v>MB</v>
      </c>
      <c r="H44" s="4">
        <f t="shared" si="3"/>
        <v>68</v>
      </c>
      <c r="I44" s="27">
        <f>CEILING(SUM(LARGE(J44:BI44,{1,2,3,4,5})),1)</f>
        <v>728</v>
      </c>
      <c r="J44" s="14">
        <f>ZLL*F</f>
        <v>154</v>
      </c>
      <c r="K44" s="3">
        <f>ZHH</f>
        <v>200</v>
      </c>
      <c r="L44" s="3">
        <f>ZGG*F</f>
        <v>374.00000000000006</v>
      </c>
      <c r="M44" s="3">
        <v>0</v>
      </c>
      <c r="N44" s="7">
        <v>0</v>
      </c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  <c r="AA44" s="4"/>
      <c r="AB44" s="4"/>
      <c r="AC44" s="4"/>
      <c r="AD44" s="4"/>
      <c r="AE44" s="4"/>
      <c r="AF44" s="4"/>
      <c r="AG44" s="4"/>
      <c r="AH44" s="4"/>
      <c r="AI44" s="4"/>
      <c r="AJ44" s="4"/>
      <c r="AK44" s="4"/>
      <c r="AL44" s="4"/>
      <c r="AM44" s="4"/>
      <c r="AN44" s="4"/>
      <c r="AO44" s="4"/>
      <c r="AP44" s="4"/>
      <c r="AQ44" s="4"/>
      <c r="AR44" s="4"/>
      <c r="AS44" s="4"/>
      <c r="AT44" s="4"/>
      <c r="AU44" s="4"/>
      <c r="AV44" s="4"/>
      <c r="AW44" s="4"/>
      <c r="AX44" s="4"/>
      <c r="AY44" s="4"/>
      <c r="AZ44" s="4"/>
      <c r="BA44" s="4"/>
      <c r="BB44" s="4"/>
      <c r="BC44" s="4"/>
      <c r="BD44" s="4"/>
      <c r="BE44" s="4"/>
      <c r="BF44" s="4"/>
      <c r="BG44" s="4"/>
      <c r="BH44" s="4"/>
      <c r="BI44" s="4"/>
      <c r="BJ44" s="4"/>
      <c r="BK44" s="4"/>
      <c r="BL44" s="4"/>
      <c r="BM44" s="4"/>
      <c r="BN44" s="4"/>
      <c r="BO44" s="4"/>
      <c r="BP44" s="4"/>
      <c r="BQ44" s="4"/>
      <c r="BR44" s="4"/>
    </row>
    <row r="45" spans="2:70" ht="21" x14ac:dyDescent="0.35">
      <c r="B45" s="4" t="s">
        <v>24</v>
      </c>
      <c r="C45" s="2" t="s">
        <v>114</v>
      </c>
      <c r="D45" s="2" t="s">
        <v>65</v>
      </c>
      <c r="E45" s="2" t="s">
        <v>12</v>
      </c>
      <c r="F45" s="2" t="s">
        <v>198</v>
      </c>
      <c r="G45" s="41" t="str">
        <f t="shared" si="2"/>
        <v>MI</v>
      </c>
      <c r="H45" s="4">
        <f t="shared" si="3"/>
        <v>17</v>
      </c>
      <c r="I45" s="27">
        <f>CEILING(SUM(LARGE(J45:BI45,{1,2,3,4,5})),1)</f>
        <v>1862</v>
      </c>
      <c r="J45" s="14">
        <f>ZGG*F</f>
        <v>374.00000000000006</v>
      </c>
      <c r="K45" s="3">
        <f>ZW</f>
        <v>370</v>
      </c>
      <c r="L45" s="3">
        <f>ZX*F</f>
        <v>328.90000000000003</v>
      </c>
      <c r="M45" s="3">
        <f>ZU*F</f>
        <v>264</v>
      </c>
      <c r="N45" s="7">
        <f>ZKK</f>
        <v>360</v>
      </c>
      <c r="O45" s="4">
        <f>ZO*F</f>
        <v>429.00000000000006</v>
      </c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</row>
    <row r="46" spans="2:70" ht="21" x14ac:dyDescent="0.35">
      <c r="B46" s="4" t="s">
        <v>24</v>
      </c>
      <c r="C46" s="2" t="s">
        <v>129</v>
      </c>
      <c r="D46" s="38" t="s">
        <v>64</v>
      </c>
      <c r="E46" s="2" t="s">
        <v>12</v>
      </c>
      <c r="F46" s="39" t="s">
        <v>133</v>
      </c>
      <c r="G46" s="41" t="str">
        <f t="shared" si="2"/>
        <v>MA</v>
      </c>
      <c r="H46" s="4">
        <f t="shared" si="3"/>
        <v>5</v>
      </c>
      <c r="I46" s="27">
        <f>CEILING(SUM(LARGE(J46:BI46,{1,2,3,4,5})),1)</f>
        <v>2503</v>
      </c>
      <c r="J46" s="14">
        <f>ZB</f>
        <v>350</v>
      </c>
      <c r="K46" s="3">
        <f>ZC*F</f>
        <v>440.00000000000006</v>
      </c>
      <c r="L46" s="3">
        <f>ZZ*F</f>
        <v>495.00000000000006</v>
      </c>
      <c r="M46" s="3">
        <f>ZY*F</f>
        <v>528</v>
      </c>
      <c r="N46" s="7">
        <f>ZS</f>
        <v>510</v>
      </c>
      <c r="O46" s="4">
        <f>ZEE</f>
        <v>530</v>
      </c>
      <c r="P46" s="4">
        <f>ZLL*F</f>
        <v>154</v>
      </c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</row>
    <row r="47" spans="2:70" ht="21" x14ac:dyDescent="0.35">
      <c r="B47" s="4" t="s">
        <v>24</v>
      </c>
      <c r="C47" s="2" t="s">
        <v>114</v>
      </c>
      <c r="D47" s="2" t="s">
        <v>65</v>
      </c>
      <c r="E47" s="2" t="s">
        <v>12</v>
      </c>
      <c r="F47" s="2" t="s">
        <v>157</v>
      </c>
      <c r="G47" s="41" t="str">
        <f t="shared" si="2"/>
        <v>MB</v>
      </c>
      <c r="H47" s="4">
        <f t="shared" si="3"/>
        <v>31</v>
      </c>
      <c r="I47" s="27">
        <f>CEILING(SUM(LARGE(J47:BI47,{1,2,3,4,5})),1)</f>
        <v>1296</v>
      </c>
      <c r="J47" s="14">
        <f>ZX*F</f>
        <v>328.90000000000003</v>
      </c>
      <c r="K47" s="3">
        <f>ZOO*F</f>
        <v>253.00000000000003</v>
      </c>
      <c r="L47" s="3">
        <f>ZLL*F</f>
        <v>154</v>
      </c>
      <c r="M47" s="3">
        <f>ZH</f>
        <v>70</v>
      </c>
      <c r="N47" s="7">
        <f>ZHH*F</f>
        <v>220.00000000000003</v>
      </c>
      <c r="O47" s="4">
        <f>ZGG</f>
        <v>340</v>
      </c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</row>
    <row r="48" spans="2:70" ht="21" x14ac:dyDescent="0.35">
      <c r="B48" s="4" t="s">
        <v>24</v>
      </c>
      <c r="C48" s="4" t="s">
        <v>114</v>
      </c>
      <c r="D48" s="38" t="s">
        <v>66</v>
      </c>
      <c r="E48" s="2" t="s">
        <v>12</v>
      </c>
      <c r="F48" s="39" t="s">
        <v>121</v>
      </c>
      <c r="G48" s="41" t="str">
        <f t="shared" si="2"/>
        <v>MB</v>
      </c>
      <c r="H48" s="4">
        <f t="shared" si="3"/>
        <v>34</v>
      </c>
      <c r="I48" s="27">
        <f>CEILING(SUM(LARGE(J48:BI48,{1,2,3,4,5})),1)</f>
        <v>1233</v>
      </c>
      <c r="J48" s="14">
        <f>ZD</f>
        <v>210</v>
      </c>
      <c r="K48" s="3">
        <f>ZX*F</f>
        <v>328.90000000000003</v>
      </c>
      <c r="L48" s="3">
        <f>ZOO</f>
        <v>230</v>
      </c>
      <c r="M48" s="3">
        <f>ZHH</f>
        <v>200</v>
      </c>
      <c r="N48" s="7">
        <f>ZU*F</f>
        <v>264</v>
      </c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4"/>
      <c r="AH48" s="4"/>
      <c r="AI48" s="4"/>
      <c r="AJ48" s="4"/>
      <c r="AK48" s="4"/>
      <c r="AL48" s="4"/>
      <c r="AM48" s="4"/>
      <c r="AN48" s="4"/>
      <c r="AO48" s="4"/>
      <c r="AP48" s="4"/>
      <c r="AQ48" s="4"/>
      <c r="AR48" s="4"/>
      <c r="AS48" s="4"/>
      <c r="AT48" s="4"/>
      <c r="AU48" s="4"/>
      <c r="AV48" s="4"/>
      <c r="AW48" s="4"/>
      <c r="AX48" s="4"/>
      <c r="AY48" s="4"/>
      <c r="AZ48" s="4"/>
      <c r="BA48" s="4"/>
      <c r="BB48" s="4"/>
      <c r="BC48" s="4"/>
      <c r="BD48" s="4"/>
      <c r="BE48" s="4"/>
      <c r="BF48" s="4"/>
      <c r="BG48" s="4"/>
      <c r="BH48" s="4"/>
      <c r="BI48" s="4"/>
      <c r="BJ48" s="4"/>
      <c r="BK48" s="4"/>
      <c r="BL48" s="4"/>
      <c r="BM48" s="4"/>
      <c r="BN48" s="4"/>
      <c r="BO48" s="4"/>
      <c r="BP48" s="4"/>
      <c r="BQ48" s="4"/>
      <c r="BR48" s="4"/>
    </row>
    <row r="49" spans="2:70" ht="21" x14ac:dyDescent="0.35">
      <c r="B49" s="4" t="s">
        <v>24</v>
      </c>
      <c r="C49" s="2" t="s">
        <v>114</v>
      </c>
      <c r="D49" s="2" t="s">
        <v>67</v>
      </c>
      <c r="E49" s="2" t="s">
        <v>22</v>
      </c>
      <c r="F49" s="2" t="s">
        <v>222</v>
      </c>
      <c r="G49" s="41" t="str">
        <f t="shared" si="2"/>
        <v>WA</v>
      </c>
      <c r="H49" s="4">
        <f t="shared" si="3"/>
        <v>15</v>
      </c>
      <c r="I49" s="27">
        <f>CEILING(SUM(LARGE(J49:BI49,{1,2,3,4,5})),1)</f>
        <v>1922</v>
      </c>
      <c r="J49" s="14">
        <f>ZB</f>
        <v>350</v>
      </c>
      <c r="K49" s="3">
        <f>ZPP*F</f>
        <v>440.00000000000006</v>
      </c>
      <c r="L49" s="3">
        <f>ZN*F</f>
        <v>132</v>
      </c>
      <c r="M49" s="3">
        <f>ZX*F</f>
        <v>328.90000000000003</v>
      </c>
      <c r="N49" s="7">
        <f>ZO*F</f>
        <v>429.00000000000006</v>
      </c>
      <c r="O49" s="4">
        <f>ZDD*F</f>
        <v>374.00000000000006</v>
      </c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  <c r="AA49" s="4"/>
      <c r="AB49" s="4"/>
      <c r="AC49" s="4"/>
      <c r="AD49" s="4"/>
      <c r="AE49" s="4"/>
      <c r="AF49" s="4"/>
      <c r="AG49" s="4"/>
      <c r="AH49" s="4"/>
      <c r="AI49" s="4"/>
      <c r="AJ49" s="4"/>
      <c r="AK49" s="4"/>
      <c r="AL49" s="4"/>
      <c r="AM49" s="4"/>
      <c r="AN49" s="4"/>
      <c r="AO49" s="4"/>
      <c r="AP49" s="4"/>
      <c r="AQ49" s="4"/>
      <c r="AR49" s="4"/>
      <c r="AS49" s="4"/>
      <c r="AT49" s="4"/>
      <c r="AU49" s="4"/>
      <c r="AV49" s="4"/>
      <c r="AW49" s="4"/>
      <c r="AX49" s="4"/>
      <c r="AY49" s="4"/>
      <c r="AZ49" s="4"/>
      <c r="BA49" s="4"/>
      <c r="BB49" s="4"/>
      <c r="BC49" s="4"/>
      <c r="BD49" s="4"/>
      <c r="BE49" s="4"/>
      <c r="BF49" s="4"/>
      <c r="BG49" s="4"/>
      <c r="BH49" s="4"/>
      <c r="BI49" s="4"/>
      <c r="BJ49" s="4"/>
      <c r="BK49" s="4"/>
      <c r="BL49" s="4"/>
      <c r="BM49" s="4"/>
      <c r="BN49" s="4"/>
      <c r="BO49" s="4"/>
      <c r="BP49" s="4"/>
      <c r="BQ49" s="4"/>
      <c r="BR49" s="4"/>
    </row>
    <row r="50" spans="2:70" ht="21" x14ac:dyDescent="0.35">
      <c r="B50" s="4" t="s">
        <v>24</v>
      </c>
      <c r="C50" s="2" t="s">
        <v>129</v>
      </c>
      <c r="D50" s="2" t="s">
        <v>69</v>
      </c>
      <c r="E50" s="2" t="s">
        <v>22</v>
      </c>
      <c r="F50" s="39" t="s">
        <v>134</v>
      </c>
      <c r="G50" s="41" t="str">
        <f t="shared" si="2"/>
        <v>WB</v>
      </c>
      <c r="H50" s="4">
        <f t="shared" si="3"/>
        <v>75</v>
      </c>
      <c r="I50" s="27">
        <f>CEILING(SUM(LARGE(J50:BI50,{1,2,3,4,5})),1)</f>
        <v>533</v>
      </c>
      <c r="J50" s="14">
        <f>ZA*F</f>
        <v>55.000000000000007</v>
      </c>
      <c r="K50" s="3">
        <f>ZV</f>
        <v>90</v>
      </c>
      <c r="L50" s="3">
        <f>ZFF</f>
        <v>80</v>
      </c>
      <c r="M50" s="3">
        <f>ZN*F</f>
        <v>132</v>
      </c>
      <c r="N50" s="7">
        <f>ZH*F</f>
        <v>77</v>
      </c>
      <c r="O50" s="4">
        <f>ZLL*F</f>
        <v>154</v>
      </c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  <c r="AA50" s="4"/>
      <c r="AB50" s="4"/>
      <c r="AC50" s="4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 s="4"/>
      <c r="BD50" s="4"/>
      <c r="BE50" s="4"/>
      <c r="BF50" s="4"/>
      <c r="BG50" s="4"/>
      <c r="BH50" s="4"/>
      <c r="BI50" s="4"/>
      <c r="BJ50" s="4"/>
      <c r="BK50" s="4"/>
      <c r="BL50" s="4"/>
      <c r="BM50" s="4"/>
      <c r="BN50" s="4"/>
      <c r="BO50" s="4"/>
      <c r="BP50" s="4"/>
      <c r="BQ50" s="4"/>
      <c r="BR50" s="4"/>
    </row>
    <row r="51" spans="2:70" ht="21" x14ac:dyDescent="0.35">
      <c r="B51" s="4" t="s">
        <v>24</v>
      </c>
      <c r="C51" s="2" t="s">
        <v>203</v>
      </c>
      <c r="D51" s="2" t="s">
        <v>68</v>
      </c>
      <c r="E51" s="2" t="s">
        <v>22</v>
      </c>
      <c r="F51" s="2" t="s">
        <v>202</v>
      </c>
      <c r="G51" s="41" t="str">
        <f t="shared" si="2"/>
        <v>WI</v>
      </c>
      <c r="H51" s="4">
        <f t="shared" si="3"/>
        <v>33</v>
      </c>
      <c r="I51" s="27">
        <f>CEILING(SUM(LARGE(J51:BI51,{1,2,3,4,5})),1)</f>
        <v>1263</v>
      </c>
      <c r="J51" s="14">
        <f>ZC</f>
        <v>400</v>
      </c>
      <c r="K51" s="3">
        <f>ZHH*F</f>
        <v>220.00000000000003</v>
      </c>
      <c r="L51" s="3">
        <f>ZOO*F</f>
        <v>253.00000000000003</v>
      </c>
      <c r="M51" s="3">
        <f>ZO</f>
        <v>390</v>
      </c>
      <c r="N51" s="7">
        <v>0</v>
      </c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</row>
    <row r="52" spans="2:70" ht="21" x14ac:dyDescent="0.35">
      <c r="B52" s="4" t="s">
        <v>24</v>
      </c>
      <c r="C52" s="2" t="s">
        <v>129</v>
      </c>
      <c r="D52" s="2" t="s">
        <v>65</v>
      </c>
      <c r="E52" s="2" t="s">
        <v>12</v>
      </c>
      <c r="F52" s="2" t="s">
        <v>154</v>
      </c>
      <c r="G52" s="41" t="str">
        <f t="shared" si="2"/>
        <v>MB</v>
      </c>
      <c r="H52" s="4">
        <f t="shared" si="3"/>
        <v>58</v>
      </c>
      <c r="I52" s="27">
        <f>CEILING(SUM(LARGE(J52:BI52,{1,2,3,4,5})),1)</f>
        <v>813</v>
      </c>
      <c r="J52" s="14">
        <f>ZV*F</f>
        <v>99.000000000000014</v>
      </c>
      <c r="K52" s="3">
        <f>ZGG*F</f>
        <v>374.00000000000006</v>
      </c>
      <c r="L52" s="3">
        <f>ZDD</f>
        <v>340</v>
      </c>
      <c r="M52" s="3">
        <v>0</v>
      </c>
      <c r="N52" s="7">
        <v>0</v>
      </c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 s="4"/>
      <c r="BD52" s="4"/>
      <c r="BE52" s="4"/>
      <c r="BF52" s="4"/>
      <c r="BG52" s="4"/>
      <c r="BH52" s="4"/>
      <c r="BI52" s="4"/>
      <c r="BJ52" s="4"/>
      <c r="BK52" s="4"/>
      <c r="BL52" s="4"/>
      <c r="BM52" s="4"/>
      <c r="BN52" s="4"/>
      <c r="BO52" s="4"/>
      <c r="BP52" s="4"/>
      <c r="BQ52" s="4"/>
      <c r="BR52" s="4"/>
    </row>
    <row r="53" spans="2:70" ht="21" x14ac:dyDescent="0.35">
      <c r="B53" s="4" t="s">
        <v>24</v>
      </c>
      <c r="C53" s="2" t="s">
        <v>114</v>
      </c>
      <c r="D53" s="2" t="s">
        <v>68</v>
      </c>
      <c r="E53" s="2" t="s">
        <v>22</v>
      </c>
      <c r="F53" s="2" t="s">
        <v>191</v>
      </c>
      <c r="G53" s="41" t="str">
        <f t="shared" si="2"/>
        <v>WI</v>
      </c>
      <c r="H53" s="4">
        <f t="shared" si="3"/>
        <v>47</v>
      </c>
      <c r="I53" s="27">
        <f>CEILING(SUM(LARGE(J53:BI53,{1,2,3,4,5})),1)</f>
        <v>1033</v>
      </c>
      <c r="J53" s="14">
        <f>ZD</f>
        <v>210</v>
      </c>
      <c r="K53" s="3">
        <f>ZOO*F</f>
        <v>253.00000000000003</v>
      </c>
      <c r="L53" s="3">
        <f>ZU</f>
        <v>240</v>
      </c>
      <c r="M53" s="3">
        <f>ZN*F</f>
        <v>132</v>
      </c>
      <c r="N53" s="7">
        <f>ZG*F</f>
        <v>198.00000000000003</v>
      </c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 s="4"/>
      <c r="BD53" s="4"/>
      <c r="BE53" s="4"/>
      <c r="BF53" s="4"/>
      <c r="BG53" s="4"/>
      <c r="BH53" s="4"/>
      <c r="BI53" s="4"/>
      <c r="BJ53" s="4"/>
      <c r="BK53" s="4"/>
      <c r="BL53" s="4"/>
      <c r="BM53" s="4"/>
      <c r="BN53" s="4"/>
      <c r="BO53" s="4"/>
      <c r="BP53" s="4"/>
      <c r="BQ53" s="4"/>
      <c r="BR53" s="4"/>
    </row>
    <row r="54" spans="2:70" ht="21" x14ac:dyDescent="0.35">
      <c r="B54" s="4" t="s">
        <v>24</v>
      </c>
      <c r="C54" s="2" t="s">
        <v>114</v>
      </c>
      <c r="D54" s="2" t="s">
        <v>64</v>
      </c>
      <c r="E54" s="2" t="s">
        <v>12</v>
      </c>
      <c r="F54" s="2" t="s">
        <v>220</v>
      </c>
      <c r="G54" s="41" t="str">
        <f t="shared" si="2"/>
        <v>MB</v>
      </c>
      <c r="H54" s="4">
        <f t="shared" si="3"/>
        <v>63</v>
      </c>
      <c r="I54" s="27">
        <f>CEILING(SUM(LARGE(J54:BI54,{1,2,3,4,5})),1)</f>
        <v>781</v>
      </c>
      <c r="J54" s="14">
        <f>ZC*F</f>
        <v>440.00000000000006</v>
      </c>
      <c r="K54" s="3">
        <f>ZD*F</f>
        <v>231.00000000000003</v>
      </c>
      <c r="L54" s="3">
        <f>ZF*F</f>
        <v>110.00000000000001</v>
      </c>
      <c r="M54" s="3">
        <v>0</v>
      </c>
      <c r="N54" s="7">
        <v>0</v>
      </c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 s="4"/>
      <c r="BD54" s="4"/>
      <c r="BE54" s="4"/>
      <c r="BF54" s="4"/>
      <c r="BG54" s="4"/>
      <c r="BH54" s="4"/>
      <c r="BI54" s="4"/>
      <c r="BJ54" s="4"/>
      <c r="BK54" s="4"/>
      <c r="BL54" s="4"/>
      <c r="BM54" s="4"/>
      <c r="BN54" s="4"/>
      <c r="BO54" s="4"/>
      <c r="BP54" s="4"/>
      <c r="BQ54" s="4"/>
      <c r="BR54" s="4"/>
    </row>
    <row r="55" spans="2:70" ht="21" x14ac:dyDescent="0.35">
      <c r="B55" s="4" t="s">
        <v>24</v>
      </c>
      <c r="C55" s="2" t="s">
        <v>129</v>
      </c>
      <c r="D55" s="2" t="s">
        <v>68</v>
      </c>
      <c r="E55" s="2" t="s">
        <v>22</v>
      </c>
      <c r="F55" s="2" t="s">
        <v>156</v>
      </c>
      <c r="G55" s="41" t="str">
        <f t="shared" si="2"/>
        <v>WB</v>
      </c>
      <c r="H55" s="4">
        <f t="shared" si="3"/>
        <v>49</v>
      </c>
      <c r="I55" s="27">
        <f>CEILING(SUM(LARGE(J55:BI55,{1,2,3,4,5})),1)</f>
        <v>955</v>
      </c>
      <c r="J55" s="14">
        <f>ZV*F</f>
        <v>99.000000000000014</v>
      </c>
      <c r="K55" s="3">
        <f>ZN*F</f>
        <v>132</v>
      </c>
      <c r="L55" s="3">
        <f>ZU</f>
        <v>240</v>
      </c>
      <c r="M55" s="3">
        <f>ZLL*F</f>
        <v>154</v>
      </c>
      <c r="N55" s="7">
        <f>ZBB*F</f>
        <v>176</v>
      </c>
      <c r="O55" s="4">
        <f>ZOO*F</f>
        <v>253.00000000000003</v>
      </c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</row>
    <row r="56" spans="2:70" ht="21" x14ac:dyDescent="0.35">
      <c r="B56" s="4" t="s">
        <v>24</v>
      </c>
      <c r="C56" s="2" t="s">
        <v>114</v>
      </c>
      <c r="D56" s="2" t="s">
        <v>67</v>
      </c>
      <c r="E56" s="2" t="s">
        <v>22</v>
      </c>
      <c r="F56" s="2" t="s">
        <v>178</v>
      </c>
      <c r="G56" s="41" t="str">
        <f t="shared" si="2"/>
        <v>WB</v>
      </c>
      <c r="H56" s="4">
        <f t="shared" si="3"/>
        <v>52</v>
      </c>
      <c r="I56" s="27">
        <f>CEILING(SUM(LARGE(J56:BI56,{1,2,3,4,5})),1)</f>
        <v>939</v>
      </c>
      <c r="J56" s="14">
        <f>ZD*F</f>
        <v>231.00000000000003</v>
      </c>
      <c r="K56" s="3">
        <f>ZC</f>
        <v>400</v>
      </c>
      <c r="L56" s="3">
        <f>ZG*F</f>
        <v>198.00000000000003</v>
      </c>
      <c r="M56" s="3">
        <f>ZF*F</f>
        <v>110.00000000000001</v>
      </c>
      <c r="N56" s="7">
        <v>0</v>
      </c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 s="4"/>
      <c r="BD56" s="4"/>
      <c r="BE56" s="4"/>
      <c r="BF56" s="4"/>
      <c r="BG56" s="4"/>
      <c r="BH56" s="4"/>
      <c r="BI56" s="4"/>
      <c r="BJ56" s="4"/>
      <c r="BK56" s="4"/>
      <c r="BL56" s="4"/>
      <c r="BM56" s="4"/>
      <c r="BN56" s="4"/>
      <c r="BO56" s="4"/>
      <c r="BP56" s="4"/>
      <c r="BQ56" s="4"/>
      <c r="BR56" s="4"/>
    </row>
    <row r="57" spans="2:70" ht="21" x14ac:dyDescent="0.35">
      <c r="B57" s="4" t="s">
        <v>24</v>
      </c>
      <c r="C57" s="2" t="s">
        <v>144</v>
      </c>
      <c r="D57" s="38" t="s">
        <v>69</v>
      </c>
      <c r="E57" s="2" t="s">
        <v>22</v>
      </c>
      <c r="F57" s="39" t="s">
        <v>145</v>
      </c>
      <c r="G57" s="41" t="str">
        <f t="shared" si="2"/>
        <v>WB</v>
      </c>
      <c r="H57" s="4">
        <f t="shared" si="3"/>
        <v>82</v>
      </c>
      <c r="I57" s="27">
        <f>CEILING(SUM(LARGE(J57:BI57,{1,2,3,4,5})),1)</f>
        <v>274</v>
      </c>
      <c r="J57" s="14">
        <f>ZA*F</f>
        <v>55.000000000000007</v>
      </c>
      <c r="K57" s="3">
        <f>ZV*F</f>
        <v>99.000000000000014</v>
      </c>
      <c r="L57" s="3">
        <f>ZN</f>
        <v>120</v>
      </c>
      <c r="M57" s="3">
        <v>0</v>
      </c>
      <c r="N57" s="7">
        <v>0</v>
      </c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 s="4"/>
      <c r="BD57" s="4"/>
      <c r="BE57" s="4"/>
      <c r="BF57" s="4"/>
      <c r="BG57" s="4"/>
      <c r="BH57" s="4"/>
      <c r="BI57" s="4"/>
      <c r="BJ57" s="4"/>
      <c r="BK57" s="4"/>
      <c r="BL57" s="4"/>
      <c r="BM57" s="4"/>
      <c r="BN57" s="4"/>
      <c r="BO57" s="4"/>
      <c r="BP57" s="4"/>
      <c r="BQ57" s="4"/>
      <c r="BR57" s="4"/>
    </row>
    <row r="58" spans="2:70" ht="21" x14ac:dyDescent="0.35">
      <c r="B58" s="4" t="s">
        <v>24</v>
      </c>
      <c r="C58" s="2" t="s">
        <v>114</v>
      </c>
      <c r="D58" s="2" t="s">
        <v>66</v>
      </c>
      <c r="E58" s="2" t="s">
        <v>12</v>
      </c>
      <c r="F58" s="2" t="s">
        <v>115</v>
      </c>
      <c r="G58" s="41" t="str">
        <f t="shared" si="2"/>
        <v>MB</v>
      </c>
      <c r="H58" s="4">
        <f t="shared" si="3"/>
        <v>86</v>
      </c>
      <c r="I58" s="27">
        <f>CEILING(SUM(LARGE(J58:BI58,{1,2,3,4,5})),1)</f>
        <v>132</v>
      </c>
      <c r="J58" s="14">
        <f>ZA*F</f>
        <v>55.000000000000007</v>
      </c>
      <c r="K58" s="3">
        <f>ZH*F</f>
        <v>77</v>
      </c>
      <c r="L58" s="3">
        <v>0</v>
      </c>
      <c r="M58" s="3">
        <v>0</v>
      </c>
      <c r="N58" s="7">
        <v>0</v>
      </c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  <c r="AA58" s="4"/>
      <c r="AB58" s="4"/>
      <c r="AC58" s="4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 s="4"/>
      <c r="BD58" s="4"/>
      <c r="BE58" s="4"/>
      <c r="BF58" s="4"/>
      <c r="BG58" s="4"/>
      <c r="BH58" s="4"/>
      <c r="BI58" s="4"/>
      <c r="BJ58" s="4"/>
      <c r="BK58" s="4"/>
      <c r="BL58" s="4"/>
      <c r="BM58" s="4"/>
      <c r="BN58" s="4"/>
      <c r="BO58" s="4"/>
      <c r="BP58" s="4"/>
      <c r="BQ58" s="4"/>
      <c r="BR58" s="4"/>
    </row>
    <row r="59" spans="2:70" ht="21" x14ac:dyDescent="0.35">
      <c r="B59" s="4" t="s">
        <v>24</v>
      </c>
      <c r="C59" s="2" t="s">
        <v>114</v>
      </c>
      <c r="D59" s="2" t="s">
        <v>65</v>
      </c>
      <c r="E59" s="2" t="s">
        <v>12</v>
      </c>
      <c r="F59" s="2" t="s">
        <v>190</v>
      </c>
      <c r="G59" s="41" t="str">
        <f t="shared" si="2"/>
        <v>MB</v>
      </c>
      <c r="H59" s="4">
        <f t="shared" si="3"/>
        <v>32</v>
      </c>
      <c r="I59" s="27">
        <f>CEILING(SUM(LARGE(J59:BI59,{1,2,3,4,5})),1)</f>
        <v>1275</v>
      </c>
      <c r="J59" s="14">
        <f>ZX*F</f>
        <v>328.90000000000003</v>
      </c>
      <c r="K59" s="3">
        <f>ZW*F</f>
        <v>407.00000000000006</v>
      </c>
      <c r="L59" s="3">
        <f>ZCC</f>
        <v>275</v>
      </c>
      <c r="M59" s="3">
        <f>ZU*F</f>
        <v>264</v>
      </c>
      <c r="N59" s="7">
        <v>0</v>
      </c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  <c r="AA59" s="4"/>
      <c r="AB59" s="4"/>
      <c r="AC59" s="4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 s="4"/>
      <c r="BD59" s="4"/>
      <c r="BE59" s="4"/>
      <c r="BF59" s="4"/>
      <c r="BG59" s="4"/>
      <c r="BH59" s="4"/>
      <c r="BI59" s="4"/>
      <c r="BJ59" s="4"/>
      <c r="BK59" s="4"/>
      <c r="BL59" s="4"/>
      <c r="BM59" s="4"/>
      <c r="BN59" s="4"/>
      <c r="BO59" s="4"/>
      <c r="BP59" s="4"/>
      <c r="BQ59" s="4"/>
      <c r="BR59" s="4"/>
    </row>
    <row r="60" spans="2:70" ht="21" x14ac:dyDescent="0.35">
      <c r="B60" s="4" t="s">
        <v>24</v>
      </c>
      <c r="C60" s="2" t="s">
        <v>114</v>
      </c>
      <c r="D60" s="2" t="s">
        <v>65</v>
      </c>
      <c r="E60" s="2" t="s">
        <v>12</v>
      </c>
      <c r="F60" s="2" t="s">
        <v>206</v>
      </c>
      <c r="G60" s="41" t="str">
        <f t="shared" si="2"/>
        <v>MB</v>
      </c>
      <c r="H60" s="4">
        <f t="shared" si="3"/>
        <v>61</v>
      </c>
      <c r="I60" s="27">
        <f>CEILING(SUM(LARGE(J60:BI60,{1,2,3,4,5})),1)</f>
        <v>803</v>
      </c>
      <c r="J60" s="14">
        <f>ZLL*F</f>
        <v>154</v>
      </c>
      <c r="K60" s="13">
        <f>ZOO*F</f>
        <v>253.00000000000003</v>
      </c>
      <c r="L60" s="3">
        <f>ZN*F</f>
        <v>132</v>
      </c>
      <c r="M60" s="3">
        <f>ZU*F</f>
        <v>264</v>
      </c>
      <c r="N60" s="7">
        <v>0</v>
      </c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  <c r="AA60" s="4"/>
      <c r="AB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  <c r="BE60" s="4"/>
      <c r="BF60" s="4"/>
      <c r="BG60" s="4"/>
      <c r="BH60" s="4"/>
      <c r="BI60" s="4"/>
      <c r="BJ60" s="4"/>
      <c r="BK60" s="4"/>
      <c r="BL60" s="4"/>
      <c r="BM60" s="4"/>
      <c r="BN60" s="4"/>
      <c r="BO60" s="4"/>
      <c r="BP60" s="4"/>
      <c r="BQ60" s="4"/>
      <c r="BR60" s="4"/>
    </row>
    <row r="61" spans="2:70" ht="21" x14ac:dyDescent="0.35">
      <c r="B61" s="4" t="s">
        <v>24</v>
      </c>
      <c r="C61" s="2" t="s">
        <v>129</v>
      </c>
      <c r="D61" s="2" t="s">
        <v>65</v>
      </c>
      <c r="E61" s="2" t="s">
        <v>12</v>
      </c>
      <c r="F61" s="2" t="s">
        <v>152</v>
      </c>
      <c r="G61" s="41" t="str">
        <f t="shared" si="2"/>
        <v>MB</v>
      </c>
      <c r="H61" s="4">
        <f t="shared" si="3"/>
        <v>71</v>
      </c>
      <c r="I61" s="27">
        <f>CEILING(SUM(LARGE(J61:BI61,{1,2,3,4,5})),1)</f>
        <v>670</v>
      </c>
      <c r="J61" s="18">
        <f>ZH*F</f>
        <v>77</v>
      </c>
      <c r="K61" s="3">
        <f>ZDD</f>
        <v>340</v>
      </c>
      <c r="L61" s="3">
        <f>ZOO*F</f>
        <v>253.00000000000003</v>
      </c>
      <c r="M61" s="3">
        <v>0</v>
      </c>
      <c r="N61" s="7">
        <v>0</v>
      </c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</row>
    <row r="62" spans="2:70" ht="21" x14ac:dyDescent="0.35">
      <c r="B62" s="4" t="s">
        <v>24</v>
      </c>
      <c r="C62" s="2" t="s">
        <v>129</v>
      </c>
      <c r="D62" s="2" t="s">
        <v>65</v>
      </c>
      <c r="E62" s="2" t="s">
        <v>12</v>
      </c>
      <c r="F62" s="2" t="s">
        <v>153</v>
      </c>
      <c r="G62" s="41" t="str">
        <f t="shared" si="2"/>
        <v>MB</v>
      </c>
      <c r="H62" s="4">
        <f t="shared" si="3"/>
        <v>84</v>
      </c>
      <c r="I62" s="27">
        <f>CEILING(SUM(LARGE(J62:BI62,{1,2,3,4,5})),1)</f>
        <v>253</v>
      </c>
      <c r="J62" s="14">
        <f>ZV*F</f>
        <v>99.000000000000014</v>
      </c>
      <c r="K62" s="3">
        <f>ZLL*F</f>
        <v>154</v>
      </c>
      <c r="L62" s="3">
        <v>0</v>
      </c>
      <c r="M62" s="3">
        <v>0</v>
      </c>
      <c r="N62" s="7">
        <v>0</v>
      </c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  <c r="AA62" s="4"/>
      <c r="AB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  <c r="BE62" s="4"/>
      <c r="BF62" s="4"/>
      <c r="BG62" s="4"/>
      <c r="BH62" s="4"/>
      <c r="BI62" s="4"/>
      <c r="BJ62" s="4"/>
      <c r="BK62" s="4"/>
      <c r="BL62" s="4"/>
      <c r="BM62" s="4"/>
      <c r="BN62" s="4"/>
      <c r="BO62" s="4"/>
      <c r="BP62" s="4"/>
      <c r="BQ62" s="4"/>
      <c r="BR62" s="4"/>
    </row>
    <row r="63" spans="2:70" ht="21" x14ac:dyDescent="0.35">
      <c r="B63" s="4" t="s">
        <v>147</v>
      </c>
      <c r="C63" s="2" t="s">
        <v>144</v>
      </c>
      <c r="D63" s="2" t="s">
        <v>64</v>
      </c>
      <c r="E63" s="2" t="s">
        <v>12</v>
      </c>
      <c r="F63" s="2" t="s">
        <v>207</v>
      </c>
      <c r="G63" s="41" t="str">
        <f t="shared" si="2"/>
        <v>MI</v>
      </c>
      <c r="H63" s="4">
        <f t="shared" si="3"/>
        <v>18</v>
      </c>
      <c r="I63" s="27">
        <f>CEILING(SUM(LARGE(J63:BI63,{1,2,3,4,5})),1)</f>
        <v>1825</v>
      </c>
      <c r="J63" s="14">
        <f>ZO*F</f>
        <v>429.00000000000006</v>
      </c>
      <c r="K63" s="3">
        <f>ZDD</f>
        <v>340</v>
      </c>
      <c r="L63" s="3">
        <f>ZGG*F</f>
        <v>374.00000000000006</v>
      </c>
      <c r="M63" s="3">
        <f>ZEE*F</f>
        <v>583</v>
      </c>
      <c r="N63" s="7">
        <f>ZV*F</f>
        <v>99.000000000000014</v>
      </c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  <c r="AA63" s="4"/>
      <c r="AB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  <c r="BE63" s="4"/>
      <c r="BF63" s="4"/>
      <c r="BG63" s="4"/>
      <c r="BH63" s="4"/>
      <c r="BI63" s="4"/>
      <c r="BJ63" s="4"/>
      <c r="BK63" s="4"/>
      <c r="BL63" s="4"/>
      <c r="BM63" s="4"/>
      <c r="BN63" s="4"/>
      <c r="BO63" s="4"/>
      <c r="BP63" s="4"/>
      <c r="BQ63" s="4"/>
      <c r="BR63" s="4"/>
    </row>
    <row r="64" spans="2:70" ht="21" x14ac:dyDescent="0.35">
      <c r="B64" s="4" t="s">
        <v>24</v>
      </c>
      <c r="C64" s="2" t="s">
        <v>114</v>
      </c>
      <c r="D64" s="2" t="s">
        <v>67</v>
      </c>
      <c r="E64" s="2" t="s">
        <v>22</v>
      </c>
      <c r="F64" s="2" t="s">
        <v>223</v>
      </c>
      <c r="G64" s="41" t="str">
        <f t="shared" si="2"/>
        <v>WB</v>
      </c>
      <c r="H64" s="4">
        <f t="shared" si="3"/>
        <v>79</v>
      </c>
      <c r="I64" s="27">
        <f>CEILING(SUM(LARGE(J64:BI64,{1,2,3,4,5})),1)</f>
        <v>473</v>
      </c>
      <c r="J64" s="14">
        <f>ZG*F</f>
        <v>198.00000000000003</v>
      </c>
      <c r="K64" s="13">
        <f>ZJ*F</f>
        <v>275</v>
      </c>
      <c r="L64" s="3">
        <v>0</v>
      </c>
      <c r="M64" s="3">
        <v>0</v>
      </c>
      <c r="N64" s="7">
        <v>0</v>
      </c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  <c r="BE64" s="4"/>
      <c r="BF64" s="4"/>
      <c r="BG64" s="4"/>
      <c r="BH64" s="4"/>
      <c r="BI64" s="4"/>
      <c r="BJ64" s="4"/>
      <c r="BK64" s="4"/>
      <c r="BL64" s="4"/>
      <c r="BM64" s="4"/>
      <c r="BN64" s="4"/>
      <c r="BO64" s="4"/>
      <c r="BP64" s="4"/>
      <c r="BQ64" s="4"/>
      <c r="BR64" s="4"/>
    </row>
    <row r="65" spans="2:70" ht="21" x14ac:dyDescent="0.35">
      <c r="B65" s="4" t="s">
        <v>24</v>
      </c>
      <c r="C65" s="2" t="s">
        <v>114</v>
      </c>
      <c r="D65" s="2" t="s">
        <v>64</v>
      </c>
      <c r="E65" s="2" t="s">
        <v>12</v>
      </c>
      <c r="F65" s="2" t="s">
        <v>211</v>
      </c>
      <c r="G65" s="41" t="str">
        <f t="shared" si="2"/>
        <v>MA</v>
      </c>
      <c r="H65" s="4">
        <f t="shared" si="3"/>
        <v>1</v>
      </c>
      <c r="I65" s="27">
        <f>CEILING(SUM(LARGE(J65:BI65,{1,2,3,4,5})),1)</f>
        <v>3003</v>
      </c>
      <c r="J65" s="14">
        <f>ZO*F</f>
        <v>429.00000000000006</v>
      </c>
      <c r="K65" s="13">
        <f>ZS*F</f>
        <v>561</v>
      </c>
      <c r="L65" s="3">
        <f>ZK*F</f>
        <v>649</v>
      </c>
      <c r="M65" s="3">
        <f>ZP</f>
        <v>640</v>
      </c>
      <c r="N65" s="7">
        <f>ZEE*F</f>
        <v>583</v>
      </c>
      <c r="O65" s="4">
        <f>ZMM</f>
        <v>570</v>
      </c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  <c r="AA65" s="4"/>
      <c r="AB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  <c r="BE65" s="4"/>
      <c r="BF65" s="4"/>
      <c r="BG65" s="4"/>
      <c r="BH65" s="4"/>
      <c r="BI65" s="4"/>
      <c r="BJ65" s="4"/>
      <c r="BK65" s="4"/>
      <c r="BL65" s="4"/>
      <c r="BM65" s="4"/>
      <c r="BN65" s="4"/>
      <c r="BO65" s="4"/>
      <c r="BP65" s="4"/>
      <c r="BQ65" s="4"/>
      <c r="BR65" s="4"/>
    </row>
    <row r="66" spans="2:70" ht="21" x14ac:dyDescent="0.35">
      <c r="B66" s="4" t="s">
        <v>24</v>
      </c>
      <c r="C66" s="2" t="s">
        <v>114</v>
      </c>
      <c r="D66" s="2" t="s">
        <v>65</v>
      </c>
      <c r="E66" s="2" t="s">
        <v>12</v>
      </c>
      <c r="F66" s="2" t="s">
        <v>197</v>
      </c>
      <c r="G66" s="41" t="str">
        <f t="shared" si="2"/>
        <v>MI</v>
      </c>
      <c r="H66" s="4">
        <f t="shared" si="3"/>
        <v>22</v>
      </c>
      <c r="I66" s="27">
        <f>CEILING(SUM(LARGE(J66:BI66,{1,2,3,4,5})),1)</f>
        <v>1720</v>
      </c>
      <c r="J66" s="14">
        <f>ZX*F</f>
        <v>328.90000000000003</v>
      </c>
      <c r="K66" s="13">
        <f>ZO</f>
        <v>390</v>
      </c>
      <c r="L66" s="3">
        <f>ZDD*F</f>
        <v>374.00000000000006</v>
      </c>
      <c r="M66" s="3">
        <f>ZGG*F</f>
        <v>374.00000000000006</v>
      </c>
      <c r="N66" s="7">
        <f>ZOO*F</f>
        <v>253.00000000000003</v>
      </c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  <c r="AA66" s="4"/>
      <c r="AB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  <c r="BE66" s="4"/>
      <c r="BF66" s="4"/>
      <c r="BG66" s="4"/>
      <c r="BH66" s="4"/>
      <c r="BI66" s="4"/>
      <c r="BJ66" s="4"/>
      <c r="BK66" s="4"/>
      <c r="BL66" s="4"/>
      <c r="BM66" s="4"/>
      <c r="BN66" s="4"/>
      <c r="BO66" s="4"/>
      <c r="BP66" s="4"/>
      <c r="BQ66" s="4"/>
      <c r="BR66" s="4"/>
    </row>
    <row r="67" spans="2:70" ht="21" x14ac:dyDescent="0.35">
      <c r="B67" s="4" t="s">
        <v>24</v>
      </c>
      <c r="C67" s="4" t="s">
        <v>129</v>
      </c>
      <c r="D67" s="4" t="s">
        <v>65</v>
      </c>
      <c r="E67" s="2" t="s">
        <v>12</v>
      </c>
      <c r="F67" s="39" t="s">
        <v>135</v>
      </c>
      <c r="G67" s="41" t="str">
        <f t="shared" si="2"/>
        <v>MB</v>
      </c>
      <c r="H67" s="4">
        <f t="shared" si="3"/>
        <v>46</v>
      </c>
      <c r="I67" s="27">
        <f>CEILING(SUM(LARGE(J67:BI67,{1,2,3,4,5})),1)</f>
        <v>1048</v>
      </c>
      <c r="J67" s="15">
        <f>ZJ</f>
        <v>250</v>
      </c>
      <c r="K67" s="13">
        <f>ZC</f>
        <v>400</v>
      </c>
      <c r="L67" s="3">
        <f>ZV*F</f>
        <v>99.000000000000014</v>
      </c>
      <c r="M67" s="3">
        <f>ZX</f>
        <v>299</v>
      </c>
      <c r="N67" s="7">
        <v>0</v>
      </c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  <c r="AA67" s="4"/>
      <c r="AB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  <c r="BE67" s="4"/>
      <c r="BF67" s="4"/>
      <c r="BG67" s="4"/>
      <c r="BH67" s="4"/>
      <c r="BI67" s="4"/>
      <c r="BJ67" s="4"/>
      <c r="BK67" s="4"/>
      <c r="BL67" s="4"/>
      <c r="BM67" s="4"/>
      <c r="BN67" s="4"/>
      <c r="BO67" s="4"/>
      <c r="BP67" s="4"/>
      <c r="BQ67" s="4"/>
      <c r="BR67" s="4"/>
    </row>
    <row r="68" spans="2:70" ht="21" x14ac:dyDescent="0.35">
      <c r="B68" s="4" t="s">
        <v>147</v>
      </c>
      <c r="C68" s="2" t="s">
        <v>144</v>
      </c>
      <c r="D68" s="38" t="s">
        <v>69</v>
      </c>
      <c r="E68" s="2" t="s">
        <v>22</v>
      </c>
      <c r="F68" s="39" t="s">
        <v>148</v>
      </c>
      <c r="G68" s="41" t="str">
        <f t="shared" ref="G68:G90" si="4">IF(E68=M,IF(I68&lt;=MBP,MB,IF(I68&lt;=MIP,MI,MA)),IF(E68=W,IF(I68&lt;=WBP,WB,IF(I68&lt;=WIP,WI,WA))))</f>
        <v>WB</v>
      </c>
      <c r="H68" s="4">
        <f t="shared" ref="H68:H99" si="5">RANK(I68,$I$4:$I$90,0)</f>
        <v>48</v>
      </c>
      <c r="I68" s="42">
        <f>CEILING(SUM(LARGE(J68:BI68,{1,2,3,4,5})),1)</f>
        <v>981</v>
      </c>
      <c r="J68" s="14">
        <f>ZA*F</f>
        <v>55.000000000000007</v>
      </c>
      <c r="K68" s="13">
        <f>ZFF*F</f>
        <v>88</v>
      </c>
      <c r="L68" s="3">
        <f>ZLL*F</f>
        <v>154</v>
      </c>
      <c r="M68" s="3">
        <f>ZBB*F</f>
        <v>176</v>
      </c>
      <c r="N68" s="7">
        <f>ZG*F</f>
        <v>198.00000000000003</v>
      </c>
      <c r="O68" s="4">
        <f>ZN*F</f>
        <v>132</v>
      </c>
      <c r="P68" s="4">
        <f>ZHH</f>
        <v>200</v>
      </c>
      <c r="Q68" s="4">
        <f>ZOO*F</f>
        <v>253.00000000000003</v>
      </c>
      <c r="R68" s="4"/>
      <c r="S68" s="4"/>
      <c r="T68" s="4"/>
      <c r="U68" s="4"/>
      <c r="V68" s="4"/>
      <c r="W68" s="4"/>
      <c r="X68" s="4"/>
      <c r="Y68" s="4"/>
      <c r="Z68" s="4"/>
      <c r="AA68" s="4"/>
      <c r="AB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  <c r="BE68" s="4"/>
      <c r="BF68" s="4"/>
      <c r="BG68" s="4"/>
      <c r="BH68" s="4"/>
      <c r="BI68" s="4"/>
      <c r="BJ68" s="4"/>
      <c r="BK68" s="4"/>
      <c r="BL68" s="4"/>
      <c r="BM68" s="4"/>
      <c r="BN68" s="4"/>
      <c r="BO68" s="4"/>
      <c r="BP68" s="4"/>
      <c r="BQ68" s="4"/>
      <c r="BR68" s="4"/>
    </row>
    <row r="69" spans="2:70" ht="21" x14ac:dyDescent="0.35">
      <c r="B69" s="4" t="s">
        <v>24</v>
      </c>
      <c r="C69" s="2" t="s">
        <v>144</v>
      </c>
      <c r="D69" s="2" t="s">
        <v>66</v>
      </c>
      <c r="E69" s="2" t="s">
        <v>12</v>
      </c>
      <c r="F69" s="2" t="s">
        <v>175</v>
      </c>
      <c r="G69" s="41" t="str">
        <f t="shared" si="4"/>
        <v>MB</v>
      </c>
      <c r="H69" s="4">
        <f t="shared" si="5"/>
        <v>36</v>
      </c>
      <c r="I69" s="27">
        <f>CEILING(SUM(LARGE(J69:BI69,{1,2,3,4,5})),1)</f>
        <v>1187</v>
      </c>
      <c r="J69" s="18">
        <f>ZG*F</f>
        <v>198.00000000000003</v>
      </c>
      <c r="K69" s="13">
        <f>ZLL*F</f>
        <v>154</v>
      </c>
      <c r="L69" s="3">
        <f>ZBB*F</f>
        <v>176</v>
      </c>
      <c r="M69" s="3">
        <f>ZHH*F</f>
        <v>220.00000000000003</v>
      </c>
      <c r="N69" s="7">
        <f>ZU*F</f>
        <v>264</v>
      </c>
      <c r="O69" s="4">
        <f>ZX*F</f>
        <v>328.90000000000003</v>
      </c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  <c r="AA69" s="4"/>
      <c r="AB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  <c r="BE69" s="4"/>
      <c r="BF69" s="4"/>
      <c r="BG69" s="4"/>
      <c r="BH69" s="4"/>
      <c r="BI69" s="4"/>
      <c r="BJ69" s="4"/>
      <c r="BK69" s="4"/>
      <c r="BL69" s="4"/>
      <c r="BM69" s="4"/>
      <c r="BN69" s="4"/>
      <c r="BO69" s="4"/>
      <c r="BP69" s="4"/>
      <c r="BQ69" s="4"/>
      <c r="BR69" s="4"/>
    </row>
    <row r="70" spans="2:70" ht="21" x14ac:dyDescent="0.35">
      <c r="B70" s="4" t="s">
        <v>24</v>
      </c>
      <c r="C70" s="2" t="s">
        <v>114</v>
      </c>
      <c r="D70" s="2" t="s">
        <v>65</v>
      </c>
      <c r="E70" s="2" t="s">
        <v>12</v>
      </c>
      <c r="F70" s="2" t="s">
        <v>189</v>
      </c>
      <c r="G70" s="41" t="str">
        <f t="shared" si="4"/>
        <v>MB</v>
      </c>
      <c r="H70" s="4">
        <f t="shared" si="5"/>
        <v>38</v>
      </c>
      <c r="I70" s="27">
        <f>CEILING(SUM(LARGE(J70:BI70,{1,2,3,4,5})),1)</f>
        <v>1122</v>
      </c>
      <c r="J70" s="14">
        <f>ZD*F</f>
        <v>231.00000000000003</v>
      </c>
      <c r="K70" s="13">
        <f>ZU*F</f>
        <v>264</v>
      </c>
      <c r="L70" s="3">
        <f>ZLL*F</f>
        <v>154</v>
      </c>
      <c r="M70" s="3">
        <f>ZHH*F</f>
        <v>220.00000000000003</v>
      </c>
      <c r="N70" s="7">
        <f>ZOO*F</f>
        <v>253.00000000000003</v>
      </c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  <c r="AA70" s="4"/>
      <c r="AB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  <c r="BE70" s="4"/>
      <c r="BF70" s="4"/>
      <c r="BG70" s="4"/>
      <c r="BH70" s="4"/>
      <c r="BI70" s="4"/>
      <c r="BJ70" s="4"/>
      <c r="BK70" s="4"/>
      <c r="BL70" s="4"/>
      <c r="BM70" s="4"/>
      <c r="BN70" s="4"/>
      <c r="BO70" s="4"/>
      <c r="BP70" s="4"/>
      <c r="BQ70" s="4"/>
      <c r="BR70" s="4"/>
    </row>
    <row r="71" spans="2:70" ht="21" x14ac:dyDescent="0.35">
      <c r="B71" s="4" t="s">
        <v>24</v>
      </c>
      <c r="C71" s="2" t="s">
        <v>114</v>
      </c>
      <c r="D71" s="2" t="s">
        <v>64</v>
      </c>
      <c r="E71" s="2" t="s">
        <v>12</v>
      </c>
      <c r="F71" s="2" t="s">
        <v>212</v>
      </c>
      <c r="G71" s="41" t="str">
        <f t="shared" si="4"/>
        <v>MA</v>
      </c>
      <c r="H71" s="4">
        <f t="shared" si="5"/>
        <v>3</v>
      </c>
      <c r="I71" s="27">
        <f>CEILING(SUM(LARGE(J71:BI71,{1,2,3,4,5})),1)</f>
        <v>2741</v>
      </c>
      <c r="J71" s="14">
        <f>ZZ*F</f>
        <v>495.00000000000006</v>
      </c>
      <c r="K71" s="13">
        <f>ZY*F</f>
        <v>528</v>
      </c>
      <c r="L71" s="3">
        <f>ZS*F</f>
        <v>561</v>
      </c>
      <c r="M71" s="3">
        <f>ZMM*F</f>
        <v>627</v>
      </c>
      <c r="N71" s="7">
        <f>ZEE</f>
        <v>530</v>
      </c>
      <c r="O71" s="4">
        <f>ZC*F</f>
        <v>440.00000000000006</v>
      </c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  <c r="BE71" s="4"/>
      <c r="BF71" s="4"/>
      <c r="BG71" s="4"/>
      <c r="BH71" s="4"/>
      <c r="BI71" s="4"/>
      <c r="BJ71" s="4"/>
      <c r="BK71" s="4"/>
      <c r="BL71" s="4"/>
      <c r="BM71" s="4"/>
      <c r="BN71" s="4"/>
      <c r="BO71" s="4"/>
      <c r="BP71" s="4"/>
      <c r="BQ71" s="4"/>
      <c r="BR71" s="4"/>
    </row>
    <row r="72" spans="2:70" ht="21" x14ac:dyDescent="0.35">
      <c r="B72" s="4" t="s">
        <v>24</v>
      </c>
      <c r="C72" s="4" t="s">
        <v>144</v>
      </c>
      <c r="D72" s="38" t="s">
        <v>66</v>
      </c>
      <c r="E72" s="2" t="s">
        <v>12</v>
      </c>
      <c r="F72" s="39" t="s">
        <v>143</v>
      </c>
      <c r="G72" s="41" t="str">
        <f t="shared" si="4"/>
        <v>MB</v>
      </c>
      <c r="H72" s="4">
        <f t="shared" si="5"/>
        <v>53</v>
      </c>
      <c r="I72" s="27">
        <f>CEILING(SUM(LARGE(J72:BI72,{1,2,3,4,5})),1)</f>
        <v>936</v>
      </c>
      <c r="J72" s="14">
        <f>ZN*F</f>
        <v>132</v>
      </c>
      <c r="K72" s="13">
        <f>ZU*F</f>
        <v>264</v>
      </c>
      <c r="L72" s="3">
        <f>ZLL*F</f>
        <v>154</v>
      </c>
      <c r="M72" s="3">
        <f>ZBB*F</f>
        <v>176</v>
      </c>
      <c r="N72" s="7">
        <f>ZD</f>
        <v>210</v>
      </c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</row>
    <row r="73" spans="2:70" ht="21" x14ac:dyDescent="0.35">
      <c r="B73" s="4" t="s">
        <v>24</v>
      </c>
      <c r="C73" s="2" t="s">
        <v>114</v>
      </c>
      <c r="D73" s="2" t="s">
        <v>64</v>
      </c>
      <c r="E73" s="2" t="s">
        <v>12</v>
      </c>
      <c r="F73" s="2" t="s">
        <v>221</v>
      </c>
      <c r="G73" s="41" t="str">
        <f t="shared" si="4"/>
        <v>MI</v>
      </c>
      <c r="H73" s="4">
        <f t="shared" si="5"/>
        <v>19</v>
      </c>
      <c r="I73" s="27">
        <f>CEILING(SUM(LARGE(J73:BI73,{1,2,3,4,5})),1)</f>
        <v>1807</v>
      </c>
      <c r="J73" s="14">
        <f>ZZ</f>
        <v>450</v>
      </c>
      <c r="K73" s="13">
        <f>ZS</f>
        <v>510</v>
      </c>
      <c r="L73" s="3">
        <f>ZHH*F</f>
        <v>220.00000000000003</v>
      </c>
      <c r="M73" s="3">
        <f>ZDD*F</f>
        <v>374.00000000000006</v>
      </c>
      <c r="N73" s="7">
        <f>ZOO*F</f>
        <v>253.00000000000003</v>
      </c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  <c r="BE73" s="4"/>
      <c r="BF73" s="4"/>
      <c r="BG73" s="4"/>
      <c r="BH73" s="4"/>
      <c r="BI73" s="4"/>
      <c r="BJ73" s="4"/>
      <c r="BK73" s="4"/>
      <c r="BL73" s="4"/>
      <c r="BM73" s="4"/>
      <c r="BN73" s="4"/>
      <c r="BO73" s="4"/>
      <c r="BP73" s="4"/>
      <c r="BQ73" s="4"/>
      <c r="BR73" s="4"/>
    </row>
    <row r="74" spans="2:70" ht="21" x14ac:dyDescent="0.35">
      <c r="B74" s="4" t="s">
        <v>24</v>
      </c>
      <c r="C74" s="2" t="s">
        <v>114</v>
      </c>
      <c r="D74" s="2" t="s">
        <v>65</v>
      </c>
      <c r="E74" s="2" t="s">
        <v>12</v>
      </c>
      <c r="F74" s="2" t="s">
        <v>187</v>
      </c>
      <c r="G74" s="41" t="str">
        <f t="shared" si="4"/>
        <v>MB</v>
      </c>
      <c r="H74" s="4">
        <f t="shared" si="5"/>
        <v>65</v>
      </c>
      <c r="I74" s="27">
        <f>CEILING(SUM(LARGE(J74:BI74,{1,2,3,4,5})),1)</f>
        <v>769</v>
      </c>
      <c r="J74" s="14">
        <f>ZU*F</f>
        <v>264</v>
      </c>
      <c r="K74" s="13">
        <f>ZX*F</f>
        <v>328.90000000000003</v>
      </c>
      <c r="L74" s="3">
        <f>ZBB*F</f>
        <v>176</v>
      </c>
      <c r="M74" s="3">
        <v>0</v>
      </c>
      <c r="N74" s="7">
        <v>0</v>
      </c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  <c r="BE74" s="4"/>
      <c r="BF74" s="4"/>
      <c r="BG74" s="4"/>
      <c r="BH74" s="4"/>
      <c r="BI74" s="4"/>
      <c r="BJ74" s="4"/>
      <c r="BK74" s="4"/>
      <c r="BL74" s="4"/>
      <c r="BM74" s="4"/>
      <c r="BN74" s="4"/>
      <c r="BO74" s="4"/>
      <c r="BP74" s="4"/>
      <c r="BQ74" s="4"/>
      <c r="BR74" s="4"/>
    </row>
    <row r="75" spans="2:70" ht="21" x14ac:dyDescent="0.35">
      <c r="B75" s="4" t="s">
        <v>24</v>
      </c>
      <c r="C75" s="2" t="s">
        <v>114</v>
      </c>
      <c r="D75" s="2" t="s">
        <v>65</v>
      </c>
      <c r="E75" s="2" t="s">
        <v>12</v>
      </c>
      <c r="F75" s="39" t="s">
        <v>142</v>
      </c>
      <c r="G75" s="41" t="str">
        <f t="shared" si="4"/>
        <v>MB</v>
      </c>
      <c r="H75" s="4">
        <f t="shared" si="5"/>
        <v>35</v>
      </c>
      <c r="I75" s="27">
        <f>CEILING(SUM(LARGE(J75:BI75,{1,2,3,4,5})),1)</f>
        <v>1231</v>
      </c>
      <c r="J75" s="14">
        <f>ZGG*F</f>
        <v>374.00000000000006</v>
      </c>
      <c r="K75" s="13">
        <f>ZOO*F</f>
        <v>253.00000000000003</v>
      </c>
      <c r="L75" s="3">
        <f>ZDD</f>
        <v>340</v>
      </c>
      <c r="M75" s="3">
        <f>ZU*F</f>
        <v>264</v>
      </c>
      <c r="N75" s="7">
        <v>0</v>
      </c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  <c r="BE75" s="4"/>
      <c r="BF75" s="4"/>
      <c r="BG75" s="4"/>
      <c r="BH75" s="4"/>
      <c r="BI75" s="4"/>
      <c r="BJ75" s="4"/>
      <c r="BK75" s="4"/>
      <c r="BL75" s="4"/>
      <c r="BM75" s="4"/>
      <c r="BN75" s="4"/>
      <c r="BO75" s="4"/>
      <c r="BP75" s="4"/>
      <c r="BQ75" s="4"/>
      <c r="BR75" s="4"/>
    </row>
    <row r="76" spans="2:70" ht="21" x14ac:dyDescent="0.35">
      <c r="B76" s="4" t="s">
        <v>24</v>
      </c>
      <c r="C76" s="2" t="s">
        <v>114</v>
      </c>
      <c r="D76" s="2" t="s">
        <v>65</v>
      </c>
      <c r="E76" s="2" t="s">
        <v>12</v>
      </c>
      <c r="F76" s="2" t="s">
        <v>205</v>
      </c>
      <c r="G76" s="41" t="str">
        <f t="shared" si="4"/>
        <v>MI</v>
      </c>
      <c r="H76" s="4">
        <f t="shared" si="5"/>
        <v>25</v>
      </c>
      <c r="I76" s="27">
        <f>CEILING(SUM(LARGE(J76:BI76,{1,2,3,4,5})),1)</f>
        <v>1574</v>
      </c>
      <c r="J76" s="14">
        <f>ZDD</f>
        <v>340</v>
      </c>
      <c r="K76" s="13">
        <f>ZJJ</f>
        <v>420</v>
      </c>
      <c r="L76" s="3">
        <f>ZB*F</f>
        <v>385.00000000000006</v>
      </c>
      <c r="M76" s="3">
        <f>ZO*F</f>
        <v>429.00000000000006</v>
      </c>
      <c r="N76" s="7">
        <v>0</v>
      </c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  <c r="AA76" s="4"/>
      <c r="AB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  <c r="BE76" s="4"/>
      <c r="BF76" s="4"/>
      <c r="BG76" s="4"/>
      <c r="BH76" s="4"/>
      <c r="BI76" s="4"/>
      <c r="BJ76" s="4"/>
      <c r="BK76" s="4"/>
      <c r="BL76" s="4"/>
      <c r="BM76" s="4"/>
      <c r="BN76" s="4"/>
      <c r="BO76" s="4"/>
      <c r="BP76" s="4"/>
      <c r="BQ76" s="4"/>
      <c r="BR76" s="4"/>
    </row>
    <row r="77" spans="2:70" ht="21" x14ac:dyDescent="0.35">
      <c r="B77" s="4" t="s">
        <v>147</v>
      </c>
      <c r="C77" s="2" t="s">
        <v>144</v>
      </c>
      <c r="D77" s="2" t="s">
        <v>65</v>
      </c>
      <c r="E77" s="2" t="s">
        <v>12</v>
      </c>
      <c r="F77" s="2" t="s">
        <v>184</v>
      </c>
      <c r="G77" s="41" t="str">
        <f t="shared" si="4"/>
        <v>MI</v>
      </c>
      <c r="H77" s="4">
        <f t="shared" si="5"/>
        <v>9</v>
      </c>
      <c r="I77" s="27">
        <f>CEILING(SUM(LARGE(J77:BI77,{1,2,3,4,5})),1)</f>
        <v>2144</v>
      </c>
      <c r="J77" s="14">
        <f>ZLL*F</f>
        <v>154</v>
      </c>
      <c r="K77" s="13">
        <f>ZDD*F</f>
        <v>374.00000000000006</v>
      </c>
      <c r="L77" s="3">
        <f>ZW*F</f>
        <v>407.00000000000006</v>
      </c>
      <c r="M77" s="3">
        <f>ZJJ*F</f>
        <v>462.00000000000006</v>
      </c>
      <c r="N77" s="7">
        <f>ZKK*F</f>
        <v>396.00000000000006</v>
      </c>
      <c r="O77" s="4">
        <f>ZX*F</f>
        <v>328.90000000000003</v>
      </c>
      <c r="P77" s="4">
        <f>ZZ</f>
        <v>450</v>
      </c>
      <c r="Q77" s="4">
        <f>ZO*F</f>
        <v>429.00000000000006</v>
      </c>
      <c r="R77" s="4"/>
      <c r="S77" s="4"/>
      <c r="T77" s="4"/>
      <c r="U77" s="4"/>
      <c r="V77" s="4"/>
      <c r="W77" s="4"/>
      <c r="X77" s="4"/>
      <c r="Y77" s="4"/>
      <c r="Z77" s="4"/>
      <c r="AA77" s="4"/>
      <c r="AB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  <c r="BE77" s="4"/>
      <c r="BF77" s="4"/>
      <c r="BG77" s="4"/>
      <c r="BH77" s="4"/>
      <c r="BI77" s="4"/>
      <c r="BJ77" s="4"/>
      <c r="BK77" s="4"/>
      <c r="BL77" s="4"/>
      <c r="BM77" s="4"/>
      <c r="BN77" s="4"/>
      <c r="BO77" s="4"/>
      <c r="BP77" s="4"/>
      <c r="BQ77" s="4"/>
      <c r="BR77" s="4"/>
    </row>
    <row r="78" spans="2:70" ht="21" x14ac:dyDescent="0.35">
      <c r="B78" s="4" t="s">
        <v>24</v>
      </c>
      <c r="C78" s="2" t="s">
        <v>114</v>
      </c>
      <c r="D78" s="2" t="s">
        <v>66</v>
      </c>
      <c r="E78" s="2" t="s">
        <v>12</v>
      </c>
      <c r="F78" s="39" t="s">
        <v>139</v>
      </c>
      <c r="G78" s="41" t="str">
        <f t="shared" si="4"/>
        <v>MB</v>
      </c>
      <c r="H78" s="4">
        <f t="shared" si="5"/>
        <v>85</v>
      </c>
      <c r="I78" s="27">
        <f>CEILING(SUM(LARGE(J78:BI78,{1,2,3,4,5})),1)</f>
        <v>231</v>
      </c>
      <c r="J78" s="14">
        <f>ZA*F</f>
        <v>55.000000000000007</v>
      </c>
      <c r="K78" s="13">
        <f>ZBB*F</f>
        <v>176</v>
      </c>
      <c r="L78" s="3">
        <v>0</v>
      </c>
      <c r="M78" s="3">
        <v>0</v>
      </c>
      <c r="N78" s="7">
        <v>0</v>
      </c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  <c r="AA78" s="4"/>
      <c r="AB78" s="4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  <c r="BE78" s="4"/>
      <c r="BF78" s="4"/>
      <c r="BG78" s="4"/>
      <c r="BH78" s="4"/>
      <c r="BI78" s="4"/>
      <c r="BJ78" s="4"/>
      <c r="BK78" s="4"/>
      <c r="BL78" s="4"/>
      <c r="BM78" s="4"/>
      <c r="BN78" s="4"/>
      <c r="BO78" s="4"/>
      <c r="BP78" s="4"/>
      <c r="BQ78" s="4"/>
      <c r="BR78" s="4"/>
    </row>
    <row r="79" spans="2:70" ht="21" x14ac:dyDescent="0.35">
      <c r="B79" s="4" t="s">
        <v>24</v>
      </c>
      <c r="C79" s="4" t="s">
        <v>129</v>
      </c>
      <c r="D79" s="38" t="s">
        <v>68</v>
      </c>
      <c r="E79" s="2" t="s">
        <v>22</v>
      </c>
      <c r="F79" s="39" t="s">
        <v>132</v>
      </c>
      <c r="G79" s="41" t="str">
        <f t="shared" si="4"/>
        <v>WI</v>
      </c>
      <c r="H79" s="4">
        <f t="shared" si="5"/>
        <v>43</v>
      </c>
      <c r="I79" s="27">
        <f>CEILING(SUM(LARGE(J79:BI79,{1,2,3,4,5})),1)</f>
        <v>1081</v>
      </c>
      <c r="J79" s="14">
        <f>ZD</f>
        <v>210</v>
      </c>
      <c r="K79" s="13">
        <f>ZV*F</f>
        <v>99.000000000000014</v>
      </c>
      <c r="L79" s="3">
        <f>ZN*F</f>
        <v>132</v>
      </c>
      <c r="M79" s="3">
        <f>ZU*F</f>
        <v>264</v>
      </c>
      <c r="N79" s="7">
        <f>ZLL*F</f>
        <v>154</v>
      </c>
      <c r="O79" s="4">
        <f>ZHH</f>
        <v>200</v>
      </c>
      <c r="P79" s="4">
        <f>ZOO*F</f>
        <v>253.00000000000003</v>
      </c>
      <c r="Q79" s="4"/>
      <c r="R79" s="4"/>
      <c r="S79" s="4"/>
      <c r="T79" s="4"/>
      <c r="U79" s="4"/>
      <c r="V79" s="4"/>
      <c r="W79" s="4"/>
      <c r="X79" s="4"/>
      <c r="Y79" s="4"/>
      <c r="Z79" s="4"/>
      <c r="AA79" s="4"/>
      <c r="AB79" s="4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  <c r="BE79" s="4"/>
      <c r="BF79" s="4"/>
      <c r="BG79" s="4"/>
      <c r="BH79" s="4"/>
      <c r="BI79" s="4"/>
      <c r="BJ79" s="4"/>
      <c r="BK79" s="4"/>
      <c r="BL79" s="4"/>
      <c r="BM79" s="4"/>
      <c r="BN79" s="4"/>
      <c r="BO79" s="4"/>
      <c r="BP79" s="4"/>
      <c r="BQ79" s="4"/>
      <c r="BR79" s="4"/>
    </row>
    <row r="80" spans="2:70" ht="21" x14ac:dyDescent="0.35">
      <c r="B80" s="4" t="s">
        <v>24</v>
      </c>
      <c r="C80" s="2" t="s">
        <v>114</v>
      </c>
      <c r="D80" s="2" t="s">
        <v>68</v>
      </c>
      <c r="E80" s="2" t="s">
        <v>22</v>
      </c>
      <c r="F80" s="2" t="s">
        <v>180</v>
      </c>
      <c r="G80" s="41" t="str">
        <f t="shared" si="4"/>
        <v>WB</v>
      </c>
      <c r="H80" s="4">
        <f t="shared" si="5"/>
        <v>63</v>
      </c>
      <c r="I80" s="27">
        <f>CEILING(SUM(LARGE(J80:BI80,{1,2,3,4,5})),1)</f>
        <v>781</v>
      </c>
      <c r="J80" s="14">
        <f>ZLL*F</f>
        <v>154</v>
      </c>
      <c r="K80" s="13">
        <f>ZBB*F</f>
        <v>176</v>
      </c>
      <c r="L80" s="3">
        <f>ZOO*F</f>
        <v>253.00000000000003</v>
      </c>
      <c r="M80" s="3">
        <f>ZG*F</f>
        <v>198.00000000000003</v>
      </c>
      <c r="N80" s="7">
        <v>0</v>
      </c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</row>
    <row r="81" spans="2:70" ht="21" x14ac:dyDescent="0.35">
      <c r="B81" s="4" t="s">
        <v>24</v>
      </c>
      <c r="C81" s="2" t="s">
        <v>114</v>
      </c>
      <c r="D81" s="2" t="s">
        <v>64</v>
      </c>
      <c r="E81" s="2" t="s">
        <v>12</v>
      </c>
      <c r="F81" s="2" t="s">
        <v>214</v>
      </c>
      <c r="G81" s="41" t="str">
        <f t="shared" si="4"/>
        <v>MA</v>
      </c>
      <c r="H81" s="4">
        <f t="shared" si="5"/>
        <v>6</v>
      </c>
      <c r="I81" s="27">
        <f>CEILING(SUM(LARGE(J81:BI81,{1,2,3,4,5})),1)</f>
        <v>2417</v>
      </c>
      <c r="J81" s="14">
        <f>ZB</f>
        <v>350</v>
      </c>
      <c r="K81" s="13">
        <f>ZPP</f>
        <v>400</v>
      </c>
      <c r="L81" s="3">
        <f>ZS</f>
        <v>510</v>
      </c>
      <c r="M81" s="3">
        <f>ZEE</f>
        <v>530</v>
      </c>
      <c r="N81" s="7">
        <f>ZMM*F</f>
        <v>627</v>
      </c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  <c r="AA81" s="4"/>
      <c r="AB81" s="4"/>
      <c r="AC81" s="4"/>
      <c r="AD81" s="4"/>
      <c r="AE81" s="4"/>
      <c r="AF81" s="4"/>
      <c r="AG81" s="4"/>
      <c r="AH81" s="4"/>
      <c r="AI81" s="4"/>
      <c r="AJ81" s="4"/>
      <c r="AK81" s="4"/>
      <c r="AL81" s="4"/>
      <c r="AM81" s="4"/>
      <c r="AN81" s="4"/>
      <c r="AO81" s="4"/>
      <c r="AP81" s="4"/>
      <c r="AQ81" s="4"/>
      <c r="AR81" s="4"/>
      <c r="AS81" s="4"/>
      <c r="AT81" s="4"/>
      <c r="AU81" s="4"/>
      <c r="AV81" s="4"/>
      <c r="AW81" s="4"/>
      <c r="AX81" s="4"/>
      <c r="AY81" s="4"/>
      <c r="AZ81" s="4"/>
      <c r="BA81" s="4"/>
      <c r="BB81" s="4"/>
      <c r="BC81" s="4"/>
      <c r="BD81" s="4"/>
      <c r="BE81" s="4"/>
      <c r="BF81" s="4"/>
      <c r="BG81" s="4"/>
      <c r="BH81" s="4"/>
      <c r="BI81" s="4"/>
      <c r="BJ81" s="4"/>
      <c r="BK81" s="4"/>
      <c r="BL81" s="4"/>
      <c r="BM81" s="4"/>
      <c r="BN81" s="4"/>
      <c r="BO81" s="4"/>
      <c r="BP81" s="4"/>
      <c r="BQ81" s="4"/>
      <c r="BR81" s="4"/>
    </row>
    <row r="82" spans="2:70" ht="21" x14ac:dyDescent="0.35">
      <c r="B82" s="4" t="s">
        <v>24</v>
      </c>
      <c r="C82" s="4" t="s">
        <v>114</v>
      </c>
      <c r="D82" s="4" t="s">
        <v>66</v>
      </c>
      <c r="E82" s="2" t="s">
        <v>12</v>
      </c>
      <c r="F82" s="39" t="s">
        <v>123</v>
      </c>
      <c r="G82" s="41" t="str">
        <f t="shared" si="4"/>
        <v>MB</v>
      </c>
      <c r="H82" s="4">
        <f t="shared" si="5"/>
        <v>41</v>
      </c>
      <c r="I82" s="27">
        <f>CEILING(SUM(LARGE(J82:BI82,{1,2,3,4,5})),1)</f>
        <v>1100</v>
      </c>
      <c r="J82" s="14">
        <f>ZV*F</f>
        <v>99.000000000000014</v>
      </c>
      <c r="K82" s="13">
        <f>ZN*F</f>
        <v>132</v>
      </c>
      <c r="L82" s="3">
        <f>ZBB*F</f>
        <v>176</v>
      </c>
      <c r="M82" s="3">
        <f>ZGG*F</f>
        <v>374.00000000000006</v>
      </c>
      <c r="N82" s="7">
        <f>ZU*F</f>
        <v>264</v>
      </c>
      <c r="O82" s="4">
        <f>ZLL*F</f>
        <v>154</v>
      </c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  <c r="AA82" s="4"/>
      <c r="AB82" s="4"/>
      <c r="AC82" s="4"/>
      <c r="AD82" s="4"/>
      <c r="AE82" s="4"/>
      <c r="AF82" s="4"/>
      <c r="AG82" s="4"/>
      <c r="AH82" s="4"/>
      <c r="AI82" s="4"/>
      <c r="AJ82" s="4"/>
      <c r="AK82" s="4"/>
      <c r="AL82" s="4"/>
      <c r="AM82" s="4"/>
      <c r="AN82" s="4"/>
      <c r="AO82" s="4"/>
      <c r="AP82" s="4"/>
      <c r="AQ82" s="4"/>
      <c r="AR82" s="4"/>
      <c r="AS82" s="4"/>
      <c r="AT82" s="4"/>
      <c r="AU82" s="4"/>
      <c r="AV82" s="4"/>
      <c r="AW82" s="4"/>
      <c r="AX82" s="4"/>
      <c r="AY82" s="4"/>
      <c r="AZ82" s="4"/>
      <c r="BA82" s="4"/>
      <c r="BB82" s="4"/>
      <c r="BC82" s="4"/>
      <c r="BD82" s="4"/>
      <c r="BE82" s="4"/>
      <c r="BF82" s="4"/>
      <c r="BG82" s="4"/>
      <c r="BH82" s="4"/>
      <c r="BI82" s="4"/>
      <c r="BJ82" s="4"/>
      <c r="BK82" s="4"/>
      <c r="BL82" s="4"/>
      <c r="BM82" s="4"/>
      <c r="BN82" s="4"/>
      <c r="BO82" s="4"/>
      <c r="BP82" s="4"/>
      <c r="BQ82" s="4"/>
      <c r="BR82" s="4"/>
    </row>
    <row r="83" spans="2:70" ht="21" x14ac:dyDescent="0.35">
      <c r="B83" s="4" t="s">
        <v>24</v>
      </c>
      <c r="C83" s="2" t="s">
        <v>114</v>
      </c>
      <c r="D83" s="2" t="s">
        <v>65</v>
      </c>
      <c r="E83" s="2" t="s">
        <v>12</v>
      </c>
      <c r="F83" s="2" t="s">
        <v>160</v>
      </c>
      <c r="G83" s="41" t="str">
        <f t="shared" si="4"/>
        <v>MI</v>
      </c>
      <c r="H83" s="4">
        <f t="shared" si="5"/>
        <v>13</v>
      </c>
      <c r="I83" s="27">
        <f>CEILING(SUM(LARGE(J83:BI83,{1,2,3,4,5})),1)</f>
        <v>1955</v>
      </c>
      <c r="J83" s="14">
        <f>ZPP</f>
        <v>400</v>
      </c>
      <c r="K83" s="13">
        <f>ZB*F</f>
        <v>385.00000000000006</v>
      </c>
      <c r="L83" s="3">
        <f>ZC</f>
        <v>400</v>
      </c>
      <c r="M83" s="3">
        <f>ZX*F</f>
        <v>328.90000000000003</v>
      </c>
      <c r="N83" s="7">
        <f>ZGG*F</f>
        <v>374.00000000000006</v>
      </c>
      <c r="O83" s="4">
        <f>ZKK*F</f>
        <v>396.00000000000006</v>
      </c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  <c r="AA83" s="4"/>
      <c r="AB83" s="4"/>
      <c r="AC83" s="4"/>
      <c r="AD83" s="4"/>
      <c r="AE83" s="4"/>
      <c r="AF83" s="4"/>
      <c r="AG83" s="4"/>
      <c r="AH83" s="4"/>
      <c r="AI83" s="4"/>
      <c r="AJ83" s="4"/>
      <c r="AK83" s="4"/>
      <c r="AL83" s="4"/>
      <c r="AM83" s="4"/>
      <c r="AN83" s="4"/>
      <c r="AO83" s="4"/>
      <c r="AP83" s="4"/>
      <c r="AQ83" s="4"/>
      <c r="AR83" s="4"/>
      <c r="AS83" s="4"/>
      <c r="AT83" s="4"/>
      <c r="AU83" s="4"/>
      <c r="AV83" s="4"/>
      <c r="AW83" s="4"/>
      <c r="AX83" s="4"/>
      <c r="AY83" s="4"/>
      <c r="AZ83" s="4"/>
      <c r="BA83" s="4"/>
      <c r="BB83" s="4"/>
      <c r="BC83" s="4"/>
      <c r="BD83" s="4"/>
      <c r="BE83" s="4"/>
      <c r="BF83" s="4"/>
      <c r="BG83" s="4"/>
      <c r="BH83" s="4"/>
      <c r="BI83" s="4"/>
      <c r="BJ83" s="4"/>
      <c r="BK83" s="4"/>
      <c r="BL83" s="4"/>
      <c r="BM83" s="4"/>
      <c r="BN83" s="4"/>
      <c r="BO83" s="4"/>
      <c r="BP83" s="4"/>
      <c r="BQ83" s="4"/>
      <c r="BR83" s="4"/>
    </row>
    <row r="84" spans="2:70" ht="21" x14ac:dyDescent="0.35">
      <c r="B84" s="4" t="s">
        <v>24</v>
      </c>
      <c r="C84" s="2" t="s">
        <v>114</v>
      </c>
      <c r="D84" s="2" t="s">
        <v>65</v>
      </c>
      <c r="E84" s="2" t="s">
        <v>12</v>
      </c>
      <c r="F84" s="2" t="s">
        <v>181</v>
      </c>
      <c r="G84" s="41" t="str">
        <f t="shared" si="4"/>
        <v>MB</v>
      </c>
      <c r="H84" s="4">
        <f t="shared" si="5"/>
        <v>77</v>
      </c>
      <c r="I84" s="42">
        <f>CEILING(SUM(LARGE(J84:BI84,{1,2,3,4,5})),1)</f>
        <v>495</v>
      </c>
      <c r="J84" s="14">
        <f>ZD*F</f>
        <v>231.00000000000003</v>
      </c>
      <c r="K84" s="16">
        <f>ZU*F</f>
        <v>264</v>
      </c>
      <c r="L84" s="3">
        <v>0</v>
      </c>
      <c r="M84" s="13">
        <v>0</v>
      </c>
      <c r="N84" s="7">
        <v>0</v>
      </c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  <c r="AA84" s="4"/>
      <c r="AB84" s="4"/>
      <c r="AC84" s="4"/>
      <c r="AD84" s="4"/>
      <c r="AE84" s="4"/>
      <c r="AF84" s="4"/>
      <c r="AG84" s="4"/>
      <c r="AH84" s="4"/>
      <c r="AI84" s="4"/>
      <c r="AJ84" s="4"/>
      <c r="AK84" s="4"/>
      <c r="AL84" s="4"/>
      <c r="AM84" s="4"/>
      <c r="AN84" s="4"/>
      <c r="AO84" s="4"/>
      <c r="AP84" s="4"/>
      <c r="AQ84" s="4"/>
      <c r="AR84" s="4"/>
      <c r="AS84" s="4"/>
      <c r="AT84" s="4"/>
      <c r="AU84" s="4"/>
      <c r="AV84" s="4"/>
      <c r="AW84" s="4"/>
      <c r="AX84" s="4"/>
      <c r="AY84" s="4"/>
      <c r="AZ84" s="4"/>
      <c r="BA84" s="4"/>
      <c r="BB84" s="4"/>
      <c r="BC84" s="4"/>
      <c r="BD84" s="4"/>
      <c r="BE84" s="4"/>
      <c r="BF84" s="4"/>
      <c r="BG84" s="4"/>
      <c r="BH84" s="4"/>
      <c r="BI84" s="4"/>
      <c r="BJ84" s="4"/>
      <c r="BK84" s="4"/>
      <c r="BL84" s="4"/>
      <c r="BM84" s="4"/>
      <c r="BN84" s="4"/>
      <c r="BO84" s="4"/>
      <c r="BP84" s="4"/>
      <c r="BQ84" s="4"/>
      <c r="BR84" s="4"/>
    </row>
    <row r="85" spans="2:70" ht="21" x14ac:dyDescent="0.35">
      <c r="B85" s="4" t="s">
        <v>24</v>
      </c>
      <c r="C85" s="2" t="s">
        <v>114</v>
      </c>
      <c r="D85" s="2" t="s">
        <v>64</v>
      </c>
      <c r="E85" s="2" t="s">
        <v>12</v>
      </c>
      <c r="F85" s="2" t="s">
        <v>204</v>
      </c>
      <c r="G85" s="41" t="str">
        <f t="shared" si="4"/>
        <v>MI</v>
      </c>
      <c r="H85" s="4">
        <f t="shared" si="5"/>
        <v>24</v>
      </c>
      <c r="I85" s="27">
        <f>CEILING(SUM(LARGE(J85:BI85,{1,2,3,4,5})),1)</f>
        <v>1601</v>
      </c>
      <c r="J85" s="14">
        <f>ZY</f>
        <v>480</v>
      </c>
      <c r="K85" s="13">
        <f>ZS*F</f>
        <v>561</v>
      </c>
      <c r="L85" s="17">
        <f>ZT</f>
        <v>560</v>
      </c>
      <c r="M85" s="3">
        <v>0</v>
      </c>
      <c r="N85" s="7">
        <v>0</v>
      </c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  <c r="AA85" s="4"/>
      <c r="AB85" s="4"/>
      <c r="AC85" s="4"/>
      <c r="AD85" s="4"/>
      <c r="AE85" s="4"/>
      <c r="AF85" s="4"/>
      <c r="AG85" s="4"/>
      <c r="AH85" s="4"/>
      <c r="AI85" s="4"/>
      <c r="AJ85" s="4"/>
      <c r="AK85" s="4"/>
      <c r="AL85" s="4"/>
      <c r="AM85" s="4"/>
      <c r="AN85" s="4"/>
      <c r="AO85" s="4"/>
      <c r="AP85" s="4"/>
      <c r="AQ85" s="4"/>
      <c r="AR85" s="4"/>
      <c r="AS85" s="4"/>
      <c r="AT85" s="4"/>
      <c r="AU85" s="4"/>
      <c r="AV85" s="4"/>
      <c r="AW85" s="4"/>
      <c r="AX85" s="4"/>
      <c r="AY85" s="4"/>
      <c r="AZ85" s="4"/>
      <c r="BA85" s="4"/>
      <c r="BB85" s="4"/>
      <c r="BC85" s="4"/>
      <c r="BD85" s="4"/>
      <c r="BE85" s="4"/>
      <c r="BF85" s="4"/>
      <c r="BG85" s="4"/>
      <c r="BH85" s="4"/>
      <c r="BI85" s="4"/>
      <c r="BJ85" s="4"/>
      <c r="BK85" s="4"/>
      <c r="BL85" s="4"/>
      <c r="BM85" s="4"/>
      <c r="BN85" s="4"/>
      <c r="BO85" s="4"/>
      <c r="BP85" s="4"/>
      <c r="BQ85" s="4"/>
      <c r="BR85" s="4"/>
    </row>
    <row r="86" spans="2:70" ht="21" x14ac:dyDescent="0.35">
      <c r="B86" s="4" t="s">
        <v>24</v>
      </c>
      <c r="C86" s="2" t="s">
        <v>114</v>
      </c>
      <c r="D86" s="2" t="s">
        <v>64</v>
      </c>
      <c r="E86" s="2" t="s">
        <v>12</v>
      </c>
      <c r="F86" s="2" t="s">
        <v>177</v>
      </c>
      <c r="G86" s="41" t="str">
        <f t="shared" si="4"/>
        <v>MA</v>
      </c>
      <c r="H86" s="4">
        <f t="shared" si="5"/>
        <v>2</v>
      </c>
      <c r="I86" s="27">
        <f>CEILING(SUM(LARGE(J86:BI86,{1,2,3,4,5})),1)</f>
        <v>2951</v>
      </c>
      <c r="J86" s="14">
        <f>ZPP*F</f>
        <v>440.00000000000006</v>
      </c>
      <c r="K86" s="13">
        <f>ZO*F</f>
        <v>429.00000000000006</v>
      </c>
      <c r="L86" s="3">
        <f>ZC*F</f>
        <v>440.00000000000006</v>
      </c>
      <c r="M86" s="3">
        <f>ZS*F</f>
        <v>561</v>
      </c>
      <c r="N86" s="7">
        <f>ZE</f>
        <v>540</v>
      </c>
      <c r="O86" s="4">
        <f>ZP</f>
        <v>640</v>
      </c>
      <c r="P86" s="4">
        <f>ZEE*F</f>
        <v>583</v>
      </c>
      <c r="Q86" s="4">
        <f>ZMM*F</f>
        <v>627</v>
      </c>
      <c r="R86" s="4"/>
      <c r="S86" s="4"/>
      <c r="T86" s="4"/>
      <c r="U86" s="4"/>
      <c r="V86" s="4"/>
      <c r="W86" s="4"/>
      <c r="X86" s="4"/>
      <c r="Y86" s="4"/>
      <c r="Z86" s="4"/>
      <c r="AA86" s="4"/>
      <c r="AB86" s="4"/>
      <c r="AC86" s="4"/>
      <c r="AD86" s="4"/>
      <c r="AE86" s="4"/>
      <c r="AF86" s="4"/>
      <c r="AG86" s="4"/>
      <c r="AH86" s="4"/>
      <c r="AI86" s="4"/>
      <c r="AJ86" s="4"/>
      <c r="AK86" s="4"/>
      <c r="AL86" s="4"/>
      <c r="AM86" s="4"/>
      <c r="AN86" s="4"/>
      <c r="AO86" s="4"/>
      <c r="AP86" s="4"/>
      <c r="AQ86" s="4"/>
      <c r="AR86" s="4"/>
      <c r="AS86" s="4"/>
      <c r="AT86" s="4"/>
      <c r="AU86" s="4"/>
      <c r="AV86" s="4"/>
      <c r="AW86" s="4"/>
      <c r="AX86" s="4"/>
      <c r="AY86" s="4"/>
      <c r="AZ86" s="4"/>
      <c r="BA86" s="4"/>
      <c r="BB86" s="4"/>
      <c r="BC86" s="4"/>
      <c r="BD86" s="4"/>
      <c r="BE86" s="4"/>
      <c r="BF86" s="4"/>
      <c r="BG86" s="4"/>
      <c r="BH86" s="4"/>
      <c r="BI86" s="4"/>
      <c r="BJ86" s="4"/>
      <c r="BK86" s="4"/>
      <c r="BL86" s="4"/>
      <c r="BM86" s="4"/>
      <c r="BN86" s="4"/>
      <c r="BO86" s="4"/>
      <c r="BP86" s="4"/>
      <c r="BQ86" s="4"/>
      <c r="BR86" s="4"/>
    </row>
    <row r="87" spans="2:70" ht="21" x14ac:dyDescent="0.35">
      <c r="B87" s="4" t="s">
        <v>24</v>
      </c>
      <c r="C87" s="2" t="s">
        <v>114</v>
      </c>
      <c r="D87" s="2" t="s">
        <v>65</v>
      </c>
      <c r="E87" s="2" t="s">
        <v>12</v>
      </c>
      <c r="F87" s="2" t="s">
        <v>192</v>
      </c>
      <c r="G87" s="41" t="str">
        <f t="shared" si="4"/>
        <v>MI</v>
      </c>
      <c r="H87" s="4">
        <f t="shared" si="5"/>
        <v>30</v>
      </c>
      <c r="I87" s="27">
        <f>CEILING(SUM(LARGE(J87:BI87,{1,2,3,4,5})),1)</f>
        <v>1422</v>
      </c>
      <c r="J87" s="14">
        <f>ZPP</f>
        <v>400</v>
      </c>
      <c r="K87" s="13">
        <f>ZU*F</f>
        <v>264</v>
      </c>
      <c r="L87" s="3">
        <f>ZX*F</f>
        <v>328.90000000000003</v>
      </c>
      <c r="M87" s="3">
        <f>ZBB*F</f>
        <v>176</v>
      </c>
      <c r="N87" s="7">
        <f>ZOO*F</f>
        <v>253.00000000000003</v>
      </c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  <c r="AA87" s="4"/>
      <c r="AB87" s="4"/>
      <c r="AC87" s="4"/>
      <c r="AD87" s="4"/>
      <c r="AE87" s="4"/>
      <c r="AF87" s="4"/>
      <c r="AG87" s="4"/>
      <c r="AH87" s="4"/>
      <c r="AI87" s="4"/>
      <c r="AJ87" s="4"/>
      <c r="AK87" s="4"/>
      <c r="AL87" s="4"/>
      <c r="AM87" s="4"/>
      <c r="AN87" s="4"/>
      <c r="AO87" s="4"/>
      <c r="AP87" s="4"/>
      <c r="AQ87" s="4"/>
      <c r="AR87" s="4"/>
      <c r="AS87" s="4"/>
      <c r="AT87" s="4"/>
      <c r="AU87" s="4"/>
      <c r="AV87" s="4"/>
      <c r="AW87" s="4"/>
      <c r="AX87" s="4"/>
      <c r="AY87" s="4"/>
      <c r="AZ87" s="4"/>
      <c r="BA87" s="4"/>
      <c r="BB87" s="4"/>
      <c r="BC87" s="4"/>
      <c r="BD87" s="4"/>
      <c r="BE87" s="4"/>
      <c r="BF87" s="4"/>
      <c r="BG87" s="4"/>
      <c r="BH87" s="4"/>
      <c r="BI87" s="4"/>
      <c r="BJ87" s="4"/>
      <c r="BK87" s="4"/>
      <c r="BL87" s="4"/>
      <c r="BM87" s="4"/>
      <c r="BN87" s="4"/>
      <c r="BO87" s="4"/>
      <c r="BP87" s="4"/>
      <c r="BQ87" s="4"/>
      <c r="BR87" s="4"/>
    </row>
    <row r="88" spans="2:70" ht="21" x14ac:dyDescent="0.35">
      <c r="B88" s="4" t="s">
        <v>24</v>
      </c>
      <c r="C88" s="2" t="s">
        <v>114</v>
      </c>
      <c r="D88" s="2" t="s">
        <v>66</v>
      </c>
      <c r="E88" s="2" t="s">
        <v>12</v>
      </c>
      <c r="F88" s="2" t="s">
        <v>224</v>
      </c>
      <c r="G88" s="41" t="str">
        <f t="shared" si="4"/>
        <v>MB</v>
      </c>
      <c r="H88" s="4">
        <f t="shared" si="5"/>
        <v>58</v>
      </c>
      <c r="I88" s="27">
        <f>CEILING(SUM(LARGE(J88:BI88,{1,2,3,4,5})),1)</f>
        <v>813</v>
      </c>
      <c r="J88" s="14">
        <f>ZA*F</f>
        <v>55.000000000000007</v>
      </c>
      <c r="K88" s="13">
        <f>ZLL*F</f>
        <v>154</v>
      </c>
      <c r="L88" s="3">
        <f>ZBB*F</f>
        <v>176</v>
      </c>
      <c r="M88" s="3">
        <f>ZOO</f>
        <v>230</v>
      </c>
      <c r="N88" s="7">
        <f>ZG*F</f>
        <v>198.00000000000003</v>
      </c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  <c r="AA88" s="4"/>
      <c r="AB88" s="4"/>
      <c r="AC88" s="4"/>
      <c r="AD88" s="4"/>
      <c r="AE88" s="4"/>
      <c r="AF88" s="4"/>
      <c r="AG88" s="4"/>
      <c r="AH88" s="4"/>
      <c r="AI88" s="4"/>
      <c r="AJ88" s="4"/>
      <c r="AK88" s="4"/>
      <c r="AL88" s="4"/>
      <c r="AM88" s="4"/>
      <c r="AN88" s="4"/>
      <c r="AO88" s="4"/>
      <c r="AP88" s="4"/>
      <c r="AQ88" s="4"/>
      <c r="AR88" s="4"/>
      <c r="AS88" s="4"/>
      <c r="AT88" s="4"/>
      <c r="AU88" s="4"/>
      <c r="AV88" s="4"/>
      <c r="AW88" s="4"/>
      <c r="AX88" s="4"/>
      <c r="AY88" s="4"/>
      <c r="AZ88" s="4"/>
      <c r="BA88" s="4"/>
      <c r="BB88" s="4"/>
      <c r="BC88" s="4"/>
      <c r="BD88" s="4"/>
      <c r="BE88" s="4"/>
      <c r="BF88" s="4"/>
      <c r="BG88" s="4"/>
      <c r="BH88" s="4"/>
      <c r="BI88" s="4"/>
      <c r="BJ88" s="4"/>
      <c r="BK88" s="4"/>
      <c r="BL88" s="4"/>
      <c r="BM88" s="4"/>
      <c r="BN88" s="4"/>
      <c r="BO88" s="4"/>
      <c r="BP88" s="4"/>
      <c r="BQ88" s="4"/>
      <c r="BR88" s="4"/>
    </row>
    <row r="89" spans="2:70" ht="21" x14ac:dyDescent="0.35">
      <c r="B89" s="4" t="s">
        <v>24</v>
      </c>
      <c r="C89" s="2" t="s">
        <v>114</v>
      </c>
      <c r="D89" s="2" t="s">
        <v>64</v>
      </c>
      <c r="E89" s="2" t="s">
        <v>12</v>
      </c>
      <c r="F89" s="2" t="s">
        <v>213</v>
      </c>
      <c r="G89" s="41" t="str">
        <f t="shared" si="4"/>
        <v>MI</v>
      </c>
      <c r="H89" s="4">
        <f t="shared" si="5"/>
        <v>21</v>
      </c>
      <c r="I89" s="27">
        <f>CEILING(SUM(LARGE(J89:BI89,{1,2,3,4,5})),1)</f>
        <v>1757</v>
      </c>
      <c r="J89" s="14">
        <f>ZC*F</f>
        <v>440.00000000000006</v>
      </c>
      <c r="K89" s="13">
        <f>ZCC*F</f>
        <v>302.5</v>
      </c>
      <c r="L89" s="3">
        <f>ZHH*F</f>
        <v>220.00000000000003</v>
      </c>
      <c r="M89" s="3">
        <f>ZJJ</f>
        <v>420</v>
      </c>
      <c r="N89" s="7">
        <f>ZDD*F</f>
        <v>374.00000000000006</v>
      </c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</row>
    <row r="90" spans="2:70" ht="21" x14ac:dyDescent="0.35">
      <c r="B90" s="4" t="s">
        <v>24</v>
      </c>
      <c r="C90" s="2" t="s">
        <v>144</v>
      </c>
      <c r="D90" s="2" t="s">
        <v>68</v>
      </c>
      <c r="E90" s="2" t="s">
        <v>22</v>
      </c>
      <c r="F90" s="2" t="s">
        <v>199</v>
      </c>
      <c r="G90" s="41" t="str">
        <f t="shared" si="4"/>
        <v>WI</v>
      </c>
      <c r="H90" s="4">
        <f t="shared" si="5"/>
        <v>44</v>
      </c>
      <c r="I90" s="27">
        <f>CEILING(SUM(LARGE(J90:BI90,{1,2,3,4,5})),1)</f>
        <v>1078</v>
      </c>
      <c r="J90" s="14">
        <f>ZD*F</f>
        <v>231.00000000000003</v>
      </c>
      <c r="K90" s="13">
        <f>ZU*F</f>
        <v>264</v>
      </c>
      <c r="L90" s="3">
        <f>ZLL*F</f>
        <v>154</v>
      </c>
      <c r="M90" s="3">
        <f>ZBB*F</f>
        <v>176</v>
      </c>
      <c r="N90" s="7">
        <f>ZOO*F</f>
        <v>253.00000000000003</v>
      </c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  <c r="AA90" s="4"/>
      <c r="AB90" s="4"/>
      <c r="AC90" s="4"/>
      <c r="AD90" s="4"/>
      <c r="AE90" s="4"/>
      <c r="AF90" s="4"/>
      <c r="AG90" s="4"/>
      <c r="AH90" s="4"/>
      <c r="AI90" s="4"/>
      <c r="AJ90" s="4"/>
      <c r="AK90" s="4"/>
      <c r="AL90" s="4"/>
      <c r="AM90" s="4"/>
      <c r="AN90" s="4"/>
      <c r="AO90" s="4"/>
      <c r="AP90" s="4"/>
      <c r="AQ90" s="4"/>
      <c r="AR90" s="4"/>
      <c r="AS90" s="4"/>
      <c r="AT90" s="4"/>
      <c r="AU90" s="4"/>
      <c r="AV90" s="4"/>
      <c r="AW90" s="4"/>
      <c r="AX90" s="4"/>
      <c r="AY90" s="4"/>
      <c r="AZ90" s="4"/>
      <c r="BA90" s="4"/>
      <c r="BB90" s="4"/>
      <c r="BC90" s="4"/>
      <c r="BD90" s="4"/>
      <c r="BE90" s="4"/>
      <c r="BF90" s="4"/>
      <c r="BG90" s="4"/>
      <c r="BH90" s="4"/>
      <c r="BI90" s="4"/>
      <c r="BJ90" s="4"/>
      <c r="BK90" s="4"/>
      <c r="BL90" s="4"/>
      <c r="BM90" s="4"/>
      <c r="BN90" s="4"/>
      <c r="BO90" s="4"/>
      <c r="BP90" s="4"/>
      <c r="BQ90" s="4"/>
      <c r="BR90" s="4"/>
    </row>
  </sheetData>
  <autoFilter ref="F3:F90">
    <sortState ref="B4:R100">
      <sortCondition ref="F3:F100"/>
    </sortState>
  </autoFilter>
  <mergeCells count="2">
    <mergeCell ref="J3:N3"/>
    <mergeCell ref="B2:N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B2:Q28"/>
  <sheetViews>
    <sheetView topLeftCell="B1" zoomScaleNormal="100" workbookViewId="0">
      <selection activeCell="M10" sqref="M10"/>
    </sheetView>
  </sheetViews>
  <sheetFormatPr defaultRowHeight="15" x14ac:dyDescent="0.25"/>
  <cols>
    <col min="1" max="1" width="9.140625" style="5"/>
    <col min="2" max="2" width="11.7109375" style="5" customWidth="1"/>
    <col min="3" max="3" width="12" style="5" customWidth="1"/>
    <col min="4" max="4" width="7.28515625" style="5" customWidth="1"/>
    <col min="5" max="5" width="11.42578125" style="5" customWidth="1"/>
    <col min="6" max="6" width="11.85546875" style="5" customWidth="1"/>
    <col min="7" max="7" width="6.5703125" style="5" customWidth="1"/>
    <col min="8" max="9" width="11.28515625" style="5" bestFit="1" customWidth="1"/>
    <col min="10" max="10" width="6.42578125" style="5" bestFit="1" customWidth="1"/>
    <col min="11" max="11" width="9.140625" style="5"/>
    <col min="12" max="12" width="12.7109375" style="5" customWidth="1"/>
    <col min="13" max="13" width="11" style="5" customWidth="1"/>
    <col min="14" max="15" width="9.140625" style="5"/>
    <col min="16" max="16" width="35" style="5" customWidth="1"/>
    <col min="17" max="16384" width="9.140625" style="5"/>
  </cols>
  <sheetData>
    <row r="2" spans="2:17" x14ac:dyDescent="0.25">
      <c r="B2" s="29" t="s">
        <v>56</v>
      </c>
      <c r="C2" s="29" t="s">
        <v>57</v>
      </c>
      <c r="D2" s="29" t="s">
        <v>58</v>
      </c>
      <c r="E2" s="29" t="s">
        <v>56</v>
      </c>
      <c r="F2" s="29" t="s">
        <v>57</v>
      </c>
      <c r="G2" s="29" t="s">
        <v>58</v>
      </c>
      <c r="H2" s="29" t="s">
        <v>56</v>
      </c>
      <c r="I2" s="29" t="s">
        <v>57</v>
      </c>
      <c r="J2" s="29" t="s">
        <v>58</v>
      </c>
      <c r="L2" s="19" t="s">
        <v>59</v>
      </c>
      <c r="M2" s="20">
        <v>1.1000000000000001</v>
      </c>
      <c r="N2" s="21">
        <f>F-1</f>
        <v>0.10000000000000009</v>
      </c>
      <c r="P2" s="22" t="s">
        <v>60</v>
      </c>
      <c r="Q2" s="22" t="s">
        <v>61</v>
      </c>
    </row>
    <row r="3" spans="2:17" x14ac:dyDescent="0.25">
      <c r="B3" s="23" t="s">
        <v>0</v>
      </c>
      <c r="C3" s="30">
        <v>50</v>
      </c>
      <c r="D3" s="30"/>
      <c r="E3" s="23" t="s">
        <v>26</v>
      </c>
      <c r="F3" s="31">
        <v>720</v>
      </c>
      <c r="G3" s="31"/>
      <c r="H3" s="23" t="s">
        <v>88</v>
      </c>
      <c r="I3" s="31"/>
      <c r="J3" s="31"/>
      <c r="P3" s="19"/>
      <c r="Q3" s="19"/>
    </row>
    <row r="4" spans="2:17" x14ac:dyDescent="0.25">
      <c r="B4" s="23" t="s">
        <v>1</v>
      </c>
      <c r="C4" s="30">
        <v>350</v>
      </c>
      <c r="D4" s="30"/>
      <c r="E4" s="23" t="s">
        <v>27</v>
      </c>
      <c r="F4" s="31">
        <v>160</v>
      </c>
      <c r="G4" s="31"/>
      <c r="H4" s="23" t="s">
        <v>89</v>
      </c>
      <c r="I4" s="31"/>
      <c r="J4" s="31"/>
      <c r="L4" s="29" t="s">
        <v>63</v>
      </c>
      <c r="M4" s="22" t="s">
        <v>70</v>
      </c>
      <c r="P4" s="19"/>
      <c r="Q4" s="19"/>
    </row>
    <row r="5" spans="2:17" x14ac:dyDescent="0.25">
      <c r="B5" s="23" t="s">
        <v>2</v>
      </c>
      <c r="C5" s="32">
        <v>400</v>
      </c>
      <c r="D5" s="30"/>
      <c r="E5" s="23" t="s">
        <v>28</v>
      </c>
      <c r="F5" s="31">
        <v>275</v>
      </c>
      <c r="G5" s="31"/>
      <c r="H5" s="23" t="s">
        <v>90</v>
      </c>
      <c r="I5" s="31"/>
      <c r="J5" s="31"/>
      <c r="L5" s="20" t="s">
        <v>64</v>
      </c>
      <c r="M5" s="20"/>
      <c r="N5" s="5" t="s">
        <v>83</v>
      </c>
      <c r="P5" s="19"/>
      <c r="Q5" s="19"/>
    </row>
    <row r="6" spans="2:17" x14ac:dyDescent="0.25">
      <c r="B6" s="23" t="s">
        <v>3</v>
      </c>
      <c r="C6" s="30">
        <v>210</v>
      </c>
      <c r="D6" s="30"/>
      <c r="E6" s="23" t="s">
        <v>29</v>
      </c>
      <c r="F6" s="31">
        <v>340</v>
      </c>
      <c r="G6" s="31"/>
      <c r="H6" s="23" t="s">
        <v>91</v>
      </c>
      <c r="I6" s="31"/>
      <c r="J6" s="31"/>
      <c r="L6" s="20" t="s">
        <v>65</v>
      </c>
      <c r="M6" s="45">
        <v>2150</v>
      </c>
      <c r="N6" s="5" t="s">
        <v>82</v>
      </c>
      <c r="P6" s="19"/>
      <c r="Q6" s="19"/>
    </row>
    <row r="7" spans="2:17" x14ac:dyDescent="0.25">
      <c r="B7" s="23" t="s">
        <v>4</v>
      </c>
      <c r="C7" s="30">
        <v>540</v>
      </c>
      <c r="D7" s="30"/>
      <c r="E7" s="23" t="s">
        <v>30</v>
      </c>
      <c r="F7" s="31">
        <v>530</v>
      </c>
      <c r="G7" s="31"/>
      <c r="H7" s="23" t="s">
        <v>92</v>
      </c>
      <c r="I7" s="31"/>
      <c r="J7" s="31"/>
      <c r="L7" s="20" t="s">
        <v>66</v>
      </c>
      <c r="M7" s="45">
        <f>SUM(C11,C12,C23,C26,F5)</f>
        <v>1344</v>
      </c>
      <c r="N7" s="5" t="s">
        <v>81</v>
      </c>
      <c r="P7" s="19"/>
      <c r="Q7" s="19"/>
    </row>
    <row r="8" spans="2:17" x14ac:dyDescent="0.25">
      <c r="B8" s="23" t="s">
        <v>5</v>
      </c>
      <c r="C8" s="30">
        <v>100</v>
      </c>
      <c r="D8" s="30"/>
      <c r="E8" s="23" t="s">
        <v>31</v>
      </c>
      <c r="F8" s="31">
        <v>80</v>
      </c>
      <c r="G8" s="31"/>
      <c r="H8" s="23" t="s">
        <v>93</v>
      </c>
      <c r="I8" s="31"/>
      <c r="J8" s="31"/>
      <c r="L8" s="20" t="s">
        <v>67</v>
      </c>
      <c r="M8" s="20"/>
      <c r="N8" s="5" t="s">
        <v>87</v>
      </c>
      <c r="P8" s="19"/>
      <c r="Q8" s="19"/>
    </row>
    <row r="9" spans="2:17" x14ac:dyDescent="0.25">
      <c r="B9" s="23" t="s">
        <v>6</v>
      </c>
      <c r="C9" s="30">
        <v>180</v>
      </c>
      <c r="D9" s="30"/>
      <c r="E9" s="23" t="s">
        <v>32</v>
      </c>
      <c r="F9" s="31">
        <v>340</v>
      </c>
      <c r="G9" s="31"/>
      <c r="H9" s="23" t="s">
        <v>94</v>
      </c>
      <c r="I9" s="31"/>
      <c r="J9" s="31"/>
      <c r="L9" s="20" t="s">
        <v>68</v>
      </c>
      <c r="M9" s="45">
        <v>1300</v>
      </c>
      <c r="N9" s="5" t="s">
        <v>86</v>
      </c>
      <c r="P9" s="33"/>
      <c r="Q9" s="19"/>
    </row>
    <row r="10" spans="2:17" x14ac:dyDescent="0.25">
      <c r="B10" s="23" t="s">
        <v>7</v>
      </c>
      <c r="C10" s="30">
        <v>70</v>
      </c>
      <c r="D10" s="30"/>
      <c r="E10" s="23" t="s">
        <v>33</v>
      </c>
      <c r="F10" s="31">
        <v>200</v>
      </c>
      <c r="G10" s="31"/>
      <c r="H10" s="23" t="s">
        <v>95</v>
      </c>
      <c r="I10" s="31"/>
      <c r="J10" s="31"/>
      <c r="L10" s="20" t="s">
        <v>69</v>
      </c>
      <c r="M10" s="45">
        <v>990</v>
      </c>
      <c r="N10" s="5" t="s">
        <v>85</v>
      </c>
      <c r="P10" s="19"/>
      <c r="Q10" s="19"/>
    </row>
    <row r="11" spans="2:17" x14ac:dyDescent="0.25">
      <c r="B11" s="23" t="s">
        <v>8</v>
      </c>
      <c r="C11" s="30">
        <v>280</v>
      </c>
      <c r="D11" s="30"/>
      <c r="E11" s="23" t="s">
        <v>34</v>
      </c>
      <c r="F11" s="31">
        <v>650</v>
      </c>
      <c r="G11" s="31"/>
      <c r="H11" s="23" t="s">
        <v>96</v>
      </c>
      <c r="I11" s="31"/>
      <c r="J11" s="31"/>
      <c r="P11" s="19"/>
      <c r="Q11" s="19"/>
    </row>
    <row r="12" spans="2:17" x14ac:dyDescent="0.25">
      <c r="B12" s="23" t="s">
        <v>9</v>
      </c>
      <c r="C12" s="30">
        <v>250</v>
      </c>
      <c r="D12" s="30"/>
      <c r="E12" s="23" t="s">
        <v>35</v>
      </c>
      <c r="F12" s="31">
        <v>420</v>
      </c>
      <c r="G12" s="31"/>
      <c r="H12" s="23" t="s">
        <v>97</v>
      </c>
      <c r="I12" s="31"/>
      <c r="J12" s="31"/>
      <c r="L12" s="60" t="s">
        <v>71</v>
      </c>
      <c r="M12" s="60"/>
      <c r="P12" s="19"/>
      <c r="Q12" s="19"/>
    </row>
    <row r="13" spans="2:17" x14ac:dyDescent="0.25">
      <c r="B13" s="23" t="s">
        <v>10</v>
      </c>
      <c r="C13" s="30">
        <v>590</v>
      </c>
      <c r="D13" s="30"/>
      <c r="E13" s="23" t="s">
        <v>36</v>
      </c>
      <c r="F13" s="31">
        <v>360</v>
      </c>
      <c r="G13" s="31"/>
      <c r="H13" s="23" t="s">
        <v>98</v>
      </c>
      <c r="I13" s="31"/>
      <c r="J13" s="31"/>
      <c r="L13" s="19" t="s">
        <v>72</v>
      </c>
      <c r="M13" s="20" t="s">
        <v>12</v>
      </c>
      <c r="P13" s="19"/>
      <c r="Q13" s="19"/>
    </row>
    <row r="14" spans="2:17" x14ac:dyDescent="0.25">
      <c r="B14" s="23" t="s">
        <v>11</v>
      </c>
      <c r="C14" s="30">
        <v>390</v>
      </c>
      <c r="D14" s="30"/>
      <c r="E14" s="23" t="s">
        <v>37</v>
      </c>
      <c r="F14" s="31">
        <v>140</v>
      </c>
      <c r="G14" s="31"/>
      <c r="H14" s="23" t="s">
        <v>99</v>
      </c>
      <c r="I14" s="31"/>
      <c r="J14" s="31"/>
      <c r="L14" s="19" t="s">
        <v>73</v>
      </c>
      <c r="M14" s="20" t="s">
        <v>22</v>
      </c>
      <c r="P14" s="19"/>
      <c r="Q14" s="19"/>
    </row>
    <row r="15" spans="2:17" x14ac:dyDescent="0.25">
      <c r="B15" s="23" t="s">
        <v>12</v>
      </c>
      <c r="C15" s="30">
        <v>750</v>
      </c>
      <c r="D15" s="30"/>
      <c r="E15" s="23" t="s">
        <v>38</v>
      </c>
      <c r="F15" s="31">
        <v>570</v>
      </c>
      <c r="G15" s="31"/>
      <c r="H15" s="23" t="s">
        <v>100</v>
      </c>
      <c r="I15" s="31"/>
      <c r="J15" s="31"/>
      <c r="P15" s="19"/>
      <c r="Q15" s="19"/>
    </row>
    <row r="16" spans="2:17" x14ac:dyDescent="0.25">
      <c r="B16" s="23" t="s">
        <v>13</v>
      </c>
      <c r="C16" s="30">
        <v>120</v>
      </c>
      <c r="D16" s="30"/>
      <c r="E16" s="23" t="s">
        <v>39</v>
      </c>
      <c r="F16" s="31"/>
      <c r="G16" s="31"/>
      <c r="H16" s="23" t="s">
        <v>101</v>
      </c>
      <c r="I16" s="31"/>
      <c r="J16" s="31"/>
      <c r="L16" s="24"/>
      <c r="M16" s="24"/>
    </row>
    <row r="17" spans="2:13" x14ac:dyDescent="0.25">
      <c r="B17" s="23" t="s">
        <v>14</v>
      </c>
      <c r="C17" s="30">
        <v>390</v>
      </c>
      <c r="D17" s="30"/>
      <c r="E17" s="23" t="s">
        <v>40</v>
      </c>
      <c r="F17" s="31">
        <v>230</v>
      </c>
      <c r="G17" s="31"/>
      <c r="H17" s="23" t="s">
        <v>102</v>
      </c>
      <c r="I17" s="31"/>
      <c r="J17" s="31"/>
      <c r="L17" s="25"/>
      <c r="M17" s="25"/>
    </row>
    <row r="18" spans="2:13" x14ac:dyDescent="0.25">
      <c r="B18" s="23" t="s">
        <v>15</v>
      </c>
      <c r="C18" s="30">
        <v>640</v>
      </c>
      <c r="D18" s="30"/>
      <c r="E18" s="23" t="s">
        <v>41</v>
      </c>
      <c r="F18" s="31">
        <v>400</v>
      </c>
      <c r="G18" s="31"/>
      <c r="H18" s="23" t="s">
        <v>103</v>
      </c>
      <c r="I18" s="31"/>
      <c r="J18" s="31"/>
      <c r="L18" s="25"/>
      <c r="M18" s="25"/>
    </row>
    <row r="19" spans="2:13" x14ac:dyDescent="0.25">
      <c r="B19" s="23" t="s">
        <v>16</v>
      </c>
      <c r="C19" s="30">
        <v>680</v>
      </c>
      <c r="D19" s="30"/>
      <c r="E19" s="23" t="s">
        <v>42</v>
      </c>
      <c r="F19" s="31"/>
      <c r="G19" s="31"/>
      <c r="H19" s="23" t="s">
        <v>104</v>
      </c>
      <c r="I19" s="31"/>
      <c r="J19" s="31"/>
    </row>
    <row r="20" spans="2:13" x14ac:dyDescent="0.25">
      <c r="B20" s="23" t="s">
        <v>17</v>
      </c>
      <c r="C20" s="32">
        <v>800</v>
      </c>
      <c r="D20" s="30"/>
      <c r="E20" s="23" t="s">
        <v>43</v>
      </c>
      <c r="F20" s="31"/>
      <c r="G20" s="31"/>
      <c r="H20" s="23" t="s">
        <v>105</v>
      </c>
      <c r="I20" s="31"/>
      <c r="J20" s="31"/>
    </row>
    <row r="21" spans="2:13" x14ac:dyDescent="0.25">
      <c r="B21" s="23" t="s">
        <v>18</v>
      </c>
      <c r="C21" s="30">
        <v>510</v>
      </c>
      <c r="D21" s="30"/>
      <c r="E21" s="23" t="s">
        <v>44</v>
      </c>
      <c r="F21" s="31"/>
      <c r="G21" s="31"/>
      <c r="H21" s="23" t="s">
        <v>106</v>
      </c>
      <c r="I21" s="31"/>
      <c r="J21" s="31"/>
    </row>
    <row r="22" spans="2:13" x14ac:dyDescent="0.25">
      <c r="B22" s="23" t="s">
        <v>19</v>
      </c>
      <c r="C22" s="30">
        <v>560</v>
      </c>
      <c r="D22" s="30"/>
      <c r="E22" s="23" t="s">
        <v>45</v>
      </c>
      <c r="F22" s="31"/>
      <c r="G22" s="31"/>
      <c r="H22" s="23" t="s">
        <v>107</v>
      </c>
      <c r="I22" s="31"/>
      <c r="J22" s="31"/>
    </row>
    <row r="23" spans="2:13" x14ac:dyDescent="0.25">
      <c r="B23" s="23" t="s">
        <v>20</v>
      </c>
      <c r="C23" s="30">
        <v>240</v>
      </c>
      <c r="D23" s="30"/>
      <c r="E23" s="23" t="s">
        <v>46</v>
      </c>
      <c r="F23" s="31"/>
      <c r="G23" s="31"/>
      <c r="H23" s="23" t="s">
        <v>108</v>
      </c>
      <c r="I23" s="31"/>
      <c r="J23" s="31"/>
    </row>
    <row r="24" spans="2:13" x14ac:dyDescent="0.25">
      <c r="B24" s="23" t="s">
        <v>21</v>
      </c>
      <c r="C24" s="30">
        <v>90</v>
      </c>
      <c r="D24" s="30"/>
      <c r="E24" s="23" t="s">
        <v>47</v>
      </c>
      <c r="F24" s="31"/>
      <c r="G24" s="31"/>
      <c r="H24" s="23" t="s">
        <v>109</v>
      </c>
      <c r="I24" s="31"/>
      <c r="J24" s="31"/>
    </row>
    <row r="25" spans="2:13" x14ac:dyDescent="0.25">
      <c r="B25" s="23" t="s">
        <v>22</v>
      </c>
      <c r="C25" s="30">
        <v>370</v>
      </c>
      <c r="D25" s="30"/>
      <c r="E25" s="23" t="s">
        <v>48</v>
      </c>
      <c r="F25" s="31"/>
      <c r="G25" s="31"/>
      <c r="H25" s="23" t="s">
        <v>110</v>
      </c>
      <c r="I25" s="31"/>
      <c r="J25" s="31"/>
    </row>
    <row r="26" spans="2:13" x14ac:dyDescent="0.25">
      <c r="B26" s="23" t="s">
        <v>23</v>
      </c>
      <c r="C26" s="30">
        <v>299</v>
      </c>
      <c r="D26" s="30"/>
      <c r="E26" s="23" t="s">
        <v>49</v>
      </c>
      <c r="F26" s="31"/>
      <c r="G26" s="31"/>
      <c r="H26" s="23" t="s">
        <v>111</v>
      </c>
      <c r="I26" s="31"/>
      <c r="J26" s="31"/>
    </row>
    <row r="27" spans="2:13" x14ac:dyDescent="0.25">
      <c r="B27" s="23" t="s">
        <v>24</v>
      </c>
      <c r="C27" s="30">
        <v>480</v>
      </c>
      <c r="D27" s="30"/>
      <c r="E27" s="23" t="s">
        <v>50</v>
      </c>
      <c r="F27" s="31"/>
      <c r="G27" s="31"/>
      <c r="H27" s="23" t="s">
        <v>112</v>
      </c>
      <c r="I27" s="31"/>
      <c r="J27" s="31"/>
    </row>
    <row r="28" spans="2:13" x14ac:dyDescent="0.25">
      <c r="B28" s="23" t="s">
        <v>25</v>
      </c>
      <c r="C28" s="30">
        <v>450</v>
      </c>
      <c r="D28" s="30"/>
      <c r="E28" s="23" t="s">
        <v>51</v>
      </c>
      <c r="F28" s="31"/>
      <c r="G28" s="31"/>
      <c r="H28" s="23" t="s">
        <v>113</v>
      </c>
      <c r="I28" s="31"/>
      <c r="J28" s="31"/>
    </row>
  </sheetData>
  <mergeCells count="1">
    <mergeCell ref="L12:M1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Q110"/>
  <sheetViews>
    <sheetView zoomScale="70" zoomScaleNormal="70" workbookViewId="0">
      <selection activeCell="Q9" sqref="Q9"/>
    </sheetView>
  </sheetViews>
  <sheetFormatPr defaultRowHeight="21" x14ac:dyDescent="0.35"/>
  <cols>
    <col min="1" max="1" width="9.140625" style="9"/>
    <col min="2" max="2" width="36.85546875" style="9" customWidth="1"/>
    <col min="3" max="3" width="21.7109375" style="9" customWidth="1"/>
    <col min="4" max="5" width="8.85546875" style="9" customWidth="1"/>
    <col min="6" max="8" width="7.42578125" style="9" customWidth="1"/>
    <col min="9" max="9" width="15" style="9" bestFit="1" customWidth="1"/>
    <col min="10" max="10" width="6" style="9" bestFit="1" customWidth="1"/>
    <col min="11" max="11" width="10.5703125" style="9" bestFit="1" customWidth="1"/>
    <col min="12" max="12" width="11" style="9" bestFit="1" customWidth="1"/>
    <col min="13" max="13" width="20" style="9" bestFit="1" customWidth="1"/>
    <col min="14" max="14" width="10.5703125" style="9" bestFit="1" customWidth="1"/>
    <col min="15" max="15" width="11" style="9" bestFit="1" customWidth="1"/>
    <col min="16" max="16" width="8.5703125" style="9" bestFit="1" customWidth="1"/>
    <col min="17" max="17" width="14.85546875" style="9" bestFit="1" customWidth="1"/>
    <col min="18" max="16384" width="9.140625" style="9"/>
  </cols>
  <sheetData>
    <row r="1" spans="1:17" x14ac:dyDescent="0.35">
      <c r="B1"/>
      <c r="C1"/>
    </row>
    <row r="2" spans="1:17" x14ac:dyDescent="0.35">
      <c r="A2" s="8"/>
      <c r="B2" s="6" t="s">
        <v>76</v>
      </c>
      <c r="C2" t="s">
        <v>80</v>
      </c>
      <c r="D2" s="8"/>
      <c r="E2" s="8"/>
      <c r="F2" s="8"/>
      <c r="G2" s="8"/>
      <c r="H2" s="8"/>
    </row>
    <row r="3" spans="1:17" x14ac:dyDescent="0.35">
      <c r="A3" s="8"/>
      <c r="B3" s="6" t="s">
        <v>78</v>
      </c>
      <c r="C3" t="s">
        <v>80</v>
      </c>
      <c r="D3" s="10"/>
      <c r="E3" s="11"/>
      <c r="F3" s="11"/>
      <c r="G3" s="11"/>
      <c r="H3" s="8"/>
    </row>
    <row r="4" spans="1:17" x14ac:dyDescent="0.35">
      <c r="A4" s="8"/>
      <c r="B4" s="6" t="s">
        <v>52</v>
      </c>
      <c r="C4" t="s">
        <v>80</v>
      </c>
      <c r="D4" s="12"/>
      <c r="E4" s="8"/>
      <c r="F4" s="8"/>
      <c r="G4" s="8"/>
      <c r="H4" s="8"/>
    </row>
    <row r="5" spans="1:17" x14ac:dyDescent="0.35">
      <c r="A5" s="8"/>
      <c r="B5" s="8"/>
      <c r="C5" s="8"/>
      <c r="D5" s="8"/>
      <c r="E5" s="8"/>
      <c r="F5" s="8"/>
      <c r="G5" s="8"/>
      <c r="H5" s="8"/>
    </row>
    <row r="6" spans="1:17" x14ac:dyDescent="0.35">
      <c r="A6" s="8"/>
      <c r="B6" s="6" t="s">
        <v>79</v>
      </c>
      <c r="C6" s="6" t="s">
        <v>161</v>
      </c>
      <c r="D6"/>
      <c r="E6"/>
      <c r="F6"/>
      <c r="G6"/>
      <c r="H6"/>
      <c r="I6"/>
      <c r="M6" s="53"/>
      <c r="N6" s="49" t="s">
        <v>166</v>
      </c>
      <c r="O6" s="49" t="s">
        <v>167</v>
      </c>
      <c r="P6" s="49" t="s">
        <v>183</v>
      </c>
      <c r="Q6" s="50" t="s">
        <v>168</v>
      </c>
    </row>
    <row r="7" spans="1:17" x14ac:dyDescent="0.35">
      <c r="A7" s="8"/>
      <c r="B7" s="6" t="s">
        <v>77</v>
      </c>
      <c r="C7" t="s">
        <v>66</v>
      </c>
      <c r="D7" t="s">
        <v>65</v>
      </c>
      <c r="E7" t="s">
        <v>64</v>
      </c>
      <c r="F7" t="s">
        <v>67</v>
      </c>
      <c r="G7" t="s">
        <v>69</v>
      </c>
      <c r="H7" t="s">
        <v>68</v>
      </c>
      <c r="I7" t="s">
        <v>162</v>
      </c>
      <c r="M7" s="51" t="s">
        <v>163</v>
      </c>
      <c r="N7" s="53">
        <f>SUM(J32,J37,J41,J43:J44,J46,J48,J50,J56:J57,J59,J63,J66:J67,J91,J96)</f>
        <v>237</v>
      </c>
      <c r="O7" s="56">
        <f>SUM(J34,J36,J38,J42,J85,J94,J95)</f>
        <v>298</v>
      </c>
      <c r="P7" s="53">
        <f>SUM(0)</f>
        <v>0</v>
      </c>
      <c r="Q7" s="53">
        <f>SUM(J54,J92)</f>
        <v>41</v>
      </c>
    </row>
    <row r="8" spans="1:17" x14ac:dyDescent="0.35">
      <c r="A8" s="8"/>
      <c r="B8" s="46" t="s">
        <v>65</v>
      </c>
      <c r="C8" s="47"/>
      <c r="D8" s="47">
        <v>24809</v>
      </c>
      <c r="E8" s="47">
        <v>10987</v>
      </c>
      <c r="F8" s="47"/>
      <c r="G8" s="47"/>
      <c r="H8" s="47"/>
      <c r="I8" s="47">
        <v>35796</v>
      </c>
      <c r="M8" s="51" t="s">
        <v>164</v>
      </c>
      <c r="N8" s="56">
        <f>SUM(J10,J13,J15,J16,J19,J21,J22,J24:J26,J28,J30,J31,J33,J35,J40,J45,J47,J49,J52:J53,J58,J60:J61,J64,J79,J82,J83,J89)</f>
        <v>268</v>
      </c>
      <c r="O8" s="53">
        <f>SUM(J9,J81)</f>
        <v>120</v>
      </c>
      <c r="P8" s="53">
        <f>SUM(J11,J27,J78)</f>
        <v>141</v>
      </c>
      <c r="Q8" s="53">
        <f>SUM(J39,J47,J55,J62,J65,J80,J86)</f>
        <v>51</v>
      </c>
    </row>
    <row r="9" spans="1:17" x14ac:dyDescent="0.35">
      <c r="A9" s="8"/>
      <c r="B9" s="48" t="s">
        <v>184</v>
      </c>
      <c r="C9" s="47"/>
      <c r="D9" s="47">
        <v>2144</v>
      </c>
      <c r="E9" s="47"/>
      <c r="F9" s="47"/>
      <c r="G9" s="47"/>
      <c r="H9" s="47"/>
      <c r="I9" s="47">
        <v>2144</v>
      </c>
      <c r="J9" s="9">
        <v>100</v>
      </c>
      <c r="K9" s="9" t="s">
        <v>144</v>
      </c>
      <c r="M9" s="52" t="s">
        <v>165</v>
      </c>
      <c r="N9" s="56">
        <f>SUM(J18,J20,J23,J51,J69,J71,J70,J72,J74,J75,J87,J99,J100,J93)</f>
        <v>402</v>
      </c>
      <c r="O9" s="53">
        <f>SUM(J17,J90,J98)</f>
        <v>161</v>
      </c>
      <c r="P9" s="53">
        <v>0</v>
      </c>
      <c r="Q9" s="53">
        <f>SUM(J12,J14,J73)</f>
        <v>90</v>
      </c>
    </row>
    <row r="10" spans="1:17" x14ac:dyDescent="0.35">
      <c r="A10" s="8"/>
      <c r="B10" s="48" t="s">
        <v>193</v>
      </c>
      <c r="C10" s="47"/>
      <c r="D10" s="47">
        <v>2076</v>
      </c>
      <c r="E10" s="47"/>
      <c r="F10" s="47"/>
      <c r="G10" s="47"/>
      <c r="H10" s="47"/>
      <c r="I10" s="47">
        <v>2076</v>
      </c>
      <c r="J10" s="9">
        <v>80</v>
      </c>
      <c r="K10" s="9" t="s">
        <v>114</v>
      </c>
    </row>
    <row r="11" spans="1:17" x14ac:dyDescent="0.35">
      <c r="A11" s="8"/>
      <c r="B11" s="48" t="s">
        <v>196</v>
      </c>
      <c r="C11" s="47"/>
      <c r="D11" s="47">
        <v>2074</v>
      </c>
      <c r="E11" s="47"/>
      <c r="F11" s="47"/>
      <c r="G11" s="47"/>
      <c r="H11" s="47"/>
      <c r="I11" s="47">
        <v>2074</v>
      </c>
      <c r="J11" s="9">
        <v>60</v>
      </c>
      <c r="K11" s="9" t="s">
        <v>183</v>
      </c>
    </row>
    <row r="12" spans="1:17" x14ac:dyDescent="0.35">
      <c r="A12" s="8"/>
      <c r="B12" s="48" t="s">
        <v>128</v>
      </c>
      <c r="C12" s="47"/>
      <c r="D12" s="47"/>
      <c r="E12" s="47">
        <v>2059</v>
      </c>
      <c r="F12" s="47"/>
      <c r="G12" s="47"/>
      <c r="H12" s="47"/>
      <c r="I12" s="47">
        <v>2059</v>
      </c>
      <c r="J12" s="9">
        <v>6</v>
      </c>
      <c r="K12" s="9" t="s">
        <v>129</v>
      </c>
      <c r="L12" s="9" t="s">
        <v>64</v>
      </c>
    </row>
    <row r="13" spans="1:17" x14ac:dyDescent="0.35">
      <c r="A13" s="8"/>
      <c r="B13" s="48" t="s">
        <v>160</v>
      </c>
      <c r="C13" s="47"/>
      <c r="D13" s="47">
        <v>1955</v>
      </c>
      <c r="E13" s="47"/>
      <c r="F13" s="47"/>
      <c r="G13" s="47"/>
      <c r="H13" s="47"/>
      <c r="I13" s="47">
        <v>1955</v>
      </c>
      <c r="J13" s="9">
        <v>40</v>
      </c>
      <c r="K13" s="9" t="s">
        <v>114</v>
      </c>
      <c r="N13"/>
      <c r="O13" s="54" t="s">
        <v>169</v>
      </c>
    </row>
    <row r="14" spans="1:17" x14ac:dyDescent="0.35">
      <c r="A14" s="8"/>
      <c r="B14" s="48" t="s">
        <v>130</v>
      </c>
      <c r="C14" s="47"/>
      <c r="D14" s="47"/>
      <c r="E14" s="47">
        <v>1938</v>
      </c>
      <c r="F14" s="47"/>
      <c r="G14" s="47"/>
      <c r="H14" s="47"/>
      <c r="I14" s="47">
        <v>1938</v>
      </c>
      <c r="J14" s="9">
        <v>4</v>
      </c>
      <c r="K14" s="9" t="s">
        <v>129</v>
      </c>
      <c r="L14" s="9" t="s">
        <v>64</v>
      </c>
      <c r="N14">
        <v>1</v>
      </c>
      <c r="O14" t="s">
        <v>210</v>
      </c>
    </row>
    <row r="15" spans="1:17" x14ac:dyDescent="0.35">
      <c r="A15" s="8"/>
      <c r="B15" s="48" t="s">
        <v>138</v>
      </c>
      <c r="C15" s="47"/>
      <c r="D15" s="47">
        <v>1918</v>
      </c>
      <c r="E15" s="47"/>
      <c r="F15" s="47"/>
      <c r="G15" s="47"/>
      <c r="H15" s="47"/>
      <c r="I15" s="47">
        <v>1918</v>
      </c>
      <c r="J15" s="9">
        <v>20</v>
      </c>
      <c r="K15" s="9" t="s">
        <v>114</v>
      </c>
      <c r="N15">
        <v>2</v>
      </c>
      <c r="O15" t="s">
        <v>222</v>
      </c>
    </row>
    <row r="16" spans="1:17" x14ac:dyDescent="0.35">
      <c r="A16" s="8"/>
      <c r="B16" s="48" t="s">
        <v>198</v>
      </c>
      <c r="C16" s="47"/>
      <c r="D16" s="47">
        <v>1862</v>
      </c>
      <c r="E16" s="47"/>
      <c r="F16" s="47"/>
      <c r="G16" s="47"/>
      <c r="H16" s="47"/>
      <c r="I16" s="47">
        <v>1862</v>
      </c>
      <c r="J16" s="9">
        <v>10</v>
      </c>
      <c r="K16" s="9" t="s">
        <v>114</v>
      </c>
      <c r="N16"/>
      <c r="O16" t="s">
        <v>209</v>
      </c>
    </row>
    <row r="17" spans="1:15" x14ac:dyDescent="0.35">
      <c r="A17" s="8"/>
      <c r="B17" s="48" t="s">
        <v>207</v>
      </c>
      <c r="C17" s="47"/>
      <c r="D17" s="47"/>
      <c r="E17" s="47">
        <v>1825</v>
      </c>
      <c r="F17" s="47"/>
      <c r="G17" s="47"/>
      <c r="H17" s="47"/>
      <c r="I17" s="47">
        <v>1825</v>
      </c>
      <c r="J17" s="9">
        <v>1</v>
      </c>
      <c r="K17" s="9" t="s">
        <v>144</v>
      </c>
      <c r="L17" s="9" t="s">
        <v>64</v>
      </c>
      <c r="N17">
        <v>3</v>
      </c>
      <c r="O17" t="s">
        <v>208</v>
      </c>
    </row>
    <row r="18" spans="1:15" x14ac:dyDescent="0.35">
      <c r="A18" s="8"/>
      <c r="B18" s="48" t="s">
        <v>221</v>
      </c>
      <c r="C18" s="47"/>
      <c r="D18" s="47"/>
      <c r="E18" s="47">
        <v>1807</v>
      </c>
      <c r="F18" s="47"/>
      <c r="G18" s="47"/>
      <c r="H18" s="47"/>
      <c r="I18" s="47">
        <v>1807</v>
      </c>
      <c r="J18" s="9">
        <v>1</v>
      </c>
      <c r="K18" s="9" t="s">
        <v>114</v>
      </c>
      <c r="L18" s="9" t="s">
        <v>64</v>
      </c>
      <c r="N18"/>
      <c r="O18" t="s">
        <v>223</v>
      </c>
    </row>
    <row r="19" spans="1:15" x14ac:dyDescent="0.35">
      <c r="A19" s="8"/>
      <c r="B19" s="48" t="s">
        <v>200</v>
      </c>
      <c r="C19" s="47"/>
      <c r="D19" s="47">
        <v>1790</v>
      </c>
      <c r="E19" s="47"/>
      <c r="F19" s="47"/>
      <c r="G19" s="47"/>
      <c r="H19" s="47"/>
      <c r="I19" s="47">
        <v>1790</v>
      </c>
      <c r="J19" s="9">
        <v>8</v>
      </c>
      <c r="K19" s="9" t="s">
        <v>114</v>
      </c>
      <c r="N19"/>
      <c r="O19"/>
    </row>
    <row r="20" spans="1:15" x14ac:dyDescent="0.35">
      <c r="B20" s="48" t="s">
        <v>213</v>
      </c>
      <c r="C20" s="47"/>
      <c r="D20" s="47"/>
      <c r="E20" s="47">
        <v>1757</v>
      </c>
      <c r="F20" s="47"/>
      <c r="G20" s="47"/>
      <c r="H20" s="47"/>
      <c r="I20" s="47">
        <v>1757</v>
      </c>
      <c r="J20" s="9">
        <v>1</v>
      </c>
      <c r="K20" s="9" t="s">
        <v>114</v>
      </c>
      <c r="L20" s="9" t="s">
        <v>64</v>
      </c>
      <c r="N20"/>
      <c r="O20" s="54" t="s">
        <v>170</v>
      </c>
    </row>
    <row r="21" spans="1:15" x14ac:dyDescent="0.35">
      <c r="B21" s="48" t="s">
        <v>197</v>
      </c>
      <c r="C21" s="47"/>
      <c r="D21" s="47">
        <v>1720</v>
      </c>
      <c r="E21" s="47"/>
      <c r="F21" s="47"/>
      <c r="G21" s="47"/>
      <c r="H21" s="47"/>
      <c r="I21" s="47">
        <v>1720</v>
      </c>
      <c r="J21" s="9">
        <v>6</v>
      </c>
      <c r="K21" s="9" t="s">
        <v>114</v>
      </c>
      <c r="N21">
        <v>1</v>
      </c>
      <c r="O21" t="s">
        <v>211</v>
      </c>
    </row>
    <row r="22" spans="1:15" x14ac:dyDescent="0.35">
      <c r="B22" s="48" t="s">
        <v>216</v>
      </c>
      <c r="C22" s="47"/>
      <c r="D22" s="47">
        <v>1652</v>
      </c>
      <c r="E22" s="47"/>
      <c r="F22" s="47"/>
      <c r="G22" s="47"/>
      <c r="H22" s="47"/>
      <c r="I22" s="47">
        <v>1652</v>
      </c>
      <c r="J22" s="9">
        <v>4</v>
      </c>
      <c r="K22" s="9" t="s">
        <v>114</v>
      </c>
      <c r="N22">
        <v>3</v>
      </c>
      <c r="O22" t="s">
        <v>177</v>
      </c>
    </row>
    <row r="23" spans="1:15" x14ac:dyDescent="0.35">
      <c r="B23" s="48" t="s">
        <v>204</v>
      </c>
      <c r="C23" s="47"/>
      <c r="D23" s="47"/>
      <c r="E23" s="47">
        <v>1601</v>
      </c>
      <c r="F23" s="47"/>
      <c r="G23" s="47"/>
      <c r="H23" s="47"/>
      <c r="I23" s="47">
        <v>1601</v>
      </c>
      <c r="J23" s="9">
        <v>1</v>
      </c>
      <c r="K23" s="9" t="s">
        <v>114</v>
      </c>
      <c r="L23" s="9" t="s">
        <v>64</v>
      </c>
      <c r="N23"/>
      <c r="O23" t="s">
        <v>212</v>
      </c>
    </row>
    <row r="24" spans="1:15" x14ac:dyDescent="0.35">
      <c r="B24" s="48" t="s">
        <v>205</v>
      </c>
      <c r="C24" s="47"/>
      <c r="D24" s="47">
        <v>1574</v>
      </c>
      <c r="E24" s="47"/>
      <c r="F24" s="47"/>
      <c r="G24" s="47"/>
      <c r="H24" s="47"/>
      <c r="I24" s="47">
        <v>1574</v>
      </c>
      <c r="J24" s="9">
        <v>1</v>
      </c>
      <c r="K24" s="9" t="s">
        <v>114</v>
      </c>
      <c r="N24"/>
      <c r="O24" t="s">
        <v>215</v>
      </c>
    </row>
    <row r="25" spans="1:15" x14ac:dyDescent="0.35">
      <c r="B25" s="48" t="s">
        <v>158</v>
      </c>
      <c r="C25" s="47"/>
      <c r="D25" s="47">
        <v>1569</v>
      </c>
      <c r="E25" s="47"/>
      <c r="F25" s="47"/>
      <c r="G25" s="47"/>
      <c r="H25" s="47"/>
      <c r="I25" s="47">
        <v>1569</v>
      </c>
      <c r="J25" s="9">
        <v>1</v>
      </c>
      <c r="K25" s="9" t="s">
        <v>114</v>
      </c>
      <c r="N25">
        <v>2</v>
      </c>
      <c r="O25" t="s">
        <v>133</v>
      </c>
    </row>
    <row r="26" spans="1:15" x14ac:dyDescent="0.35">
      <c r="B26" s="48" t="s">
        <v>140</v>
      </c>
      <c r="C26" s="47"/>
      <c r="D26" s="47">
        <v>1530</v>
      </c>
      <c r="E26" s="47"/>
      <c r="F26" s="47"/>
      <c r="G26" s="47"/>
      <c r="H26" s="47"/>
      <c r="I26" s="47">
        <v>1530</v>
      </c>
      <c r="J26" s="9">
        <v>1</v>
      </c>
      <c r="K26" s="9" t="s">
        <v>114</v>
      </c>
      <c r="N26"/>
      <c r="O26"/>
    </row>
    <row r="27" spans="1:15" x14ac:dyDescent="0.35">
      <c r="B27" s="48" t="s">
        <v>219</v>
      </c>
      <c r="C27" s="47"/>
      <c r="D27" s="47">
        <v>1523</v>
      </c>
      <c r="E27" s="47"/>
      <c r="F27" s="47"/>
      <c r="G27" s="47"/>
      <c r="H27" s="47"/>
      <c r="I27" s="47">
        <v>1523</v>
      </c>
      <c r="J27" s="9">
        <v>1</v>
      </c>
      <c r="K27" s="9" t="s">
        <v>183</v>
      </c>
      <c r="N27"/>
      <c r="O27" s="54" t="s">
        <v>171</v>
      </c>
    </row>
    <row r="28" spans="1:15" x14ac:dyDescent="0.35">
      <c r="B28" s="48" t="s">
        <v>192</v>
      </c>
      <c r="C28" s="47"/>
      <c r="D28" s="47">
        <v>1422</v>
      </c>
      <c r="E28" s="47"/>
      <c r="F28" s="47"/>
      <c r="G28" s="47"/>
      <c r="H28" s="47"/>
      <c r="I28" s="47">
        <v>1422</v>
      </c>
      <c r="J28" s="9">
        <v>1</v>
      </c>
      <c r="K28" s="9" t="s">
        <v>114</v>
      </c>
      <c r="N28"/>
      <c r="O28" t="s">
        <v>202</v>
      </c>
    </row>
    <row r="29" spans="1:15" x14ac:dyDescent="0.35">
      <c r="B29" s="46" t="s">
        <v>66</v>
      </c>
      <c r="C29" s="47">
        <v>15308</v>
      </c>
      <c r="D29" s="47">
        <v>14441</v>
      </c>
      <c r="E29" s="47">
        <v>781</v>
      </c>
      <c r="F29" s="47"/>
      <c r="G29" s="47"/>
      <c r="H29" s="47"/>
      <c r="I29" s="47">
        <v>30530</v>
      </c>
      <c r="N29"/>
      <c r="O29" t="s">
        <v>217</v>
      </c>
    </row>
    <row r="30" spans="1:15" x14ac:dyDescent="0.35">
      <c r="B30" s="48" t="s">
        <v>157</v>
      </c>
      <c r="C30" s="47"/>
      <c r="D30" s="47">
        <v>1296</v>
      </c>
      <c r="E30" s="47"/>
      <c r="F30" s="47"/>
      <c r="G30" s="47"/>
      <c r="H30" s="47"/>
      <c r="I30" s="47">
        <v>1296</v>
      </c>
      <c r="J30" s="9">
        <v>1</v>
      </c>
      <c r="K30" s="9" t="s">
        <v>114</v>
      </c>
      <c r="L30" s="9" t="s">
        <v>65</v>
      </c>
      <c r="N30"/>
      <c r="O30" t="s">
        <v>194</v>
      </c>
    </row>
    <row r="31" spans="1:15" x14ac:dyDescent="0.35">
      <c r="B31" s="48" t="s">
        <v>190</v>
      </c>
      <c r="C31" s="47"/>
      <c r="D31" s="47">
        <v>1275</v>
      </c>
      <c r="E31" s="47"/>
      <c r="F31" s="47"/>
      <c r="G31" s="47"/>
      <c r="H31" s="47"/>
      <c r="I31" s="47">
        <v>1275</v>
      </c>
      <c r="J31" s="9">
        <v>1</v>
      </c>
      <c r="K31" s="9" t="s">
        <v>114</v>
      </c>
      <c r="L31" s="9" t="s">
        <v>65</v>
      </c>
      <c r="N31"/>
      <c r="O31"/>
    </row>
    <row r="32" spans="1:15" x14ac:dyDescent="0.35">
      <c r="B32" s="48" t="s">
        <v>121</v>
      </c>
      <c r="C32" s="47">
        <v>1233</v>
      </c>
      <c r="D32" s="47"/>
      <c r="E32" s="47"/>
      <c r="F32" s="47"/>
      <c r="G32" s="47"/>
      <c r="H32" s="47"/>
      <c r="I32" s="47">
        <v>1233</v>
      </c>
      <c r="J32" s="9">
        <v>100</v>
      </c>
      <c r="K32" s="9" t="s">
        <v>114</v>
      </c>
      <c r="N32"/>
      <c r="O32" s="54" t="s">
        <v>172</v>
      </c>
    </row>
    <row r="33" spans="2:15" x14ac:dyDescent="0.35">
      <c r="B33" s="48" t="s">
        <v>142</v>
      </c>
      <c r="C33" s="47"/>
      <c r="D33" s="47">
        <v>1231</v>
      </c>
      <c r="E33" s="47"/>
      <c r="F33" s="47"/>
      <c r="G33" s="47"/>
      <c r="H33" s="47"/>
      <c r="I33" s="47">
        <v>1231</v>
      </c>
      <c r="J33" s="9">
        <v>1</v>
      </c>
      <c r="K33" s="9" t="s">
        <v>114</v>
      </c>
      <c r="L33" s="9" t="s">
        <v>65</v>
      </c>
      <c r="N33"/>
      <c r="O33" t="s">
        <v>218</v>
      </c>
    </row>
    <row r="34" spans="2:15" x14ac:dyDescent="0.35">
      <c r="B34" s="48" t="s">
        <v>175</v>
      </c>
      <c r="C34" s="47">
        <v>1187</v>
      </c>
      <c r="D34" s="47"/>
      <c r="E34" s="47"/>
      <c r="F34" s="47"/>
      <c r="G34" s="47"/>
      <c r="H34" s="47"/>
      <c r="I34" s="47">
        <v>1187</v>
      </c>
      <c r="J34" s="9">
        <v>80</v>
      </c>
      <c r="K34" s="9" t="s">
        <v>144</v>
      </c>
      <c r="N34"/>
      <c r="O34" t="s">
        <v>193</v>
      </c>
    </row>
    <row r="35" spans="2:15" x14ac:dyDescent="0.35">
      <c r="B35" s="48" t="s">
        <v>189</v>
      </c>
      <c r="C35" s="47"/>
      <c r="D35" s="47">
        <v>1122</v>
      </c>
      <c r="E35" s="47"/>
      <c r="F35" s="47"/>
      <c r="G35" s="47"/>
      <c r="H35" s="47"/>
      <c r="I35" s="47">
        <v>1122</v>
      </c>
      <c r="J35" s="9">
        <v>1</v>
      </c>
      <c r="K35" s="9" t="s">
        <v>114</v>
      </c>
      <c r="L35" s="9" t="s">
        <v>65</v>
      </c>
      <c r="N35"/>
      <c r="O35" t="s">
        <v>196</v>
      </c>
    </row>
    <row r="36" spans="2:15" x14ac:dyDescent="0.35">
      <c r="B36" s="48" t="s">
        <v>150</v>
      </c>
      <c r="C36" s="47">
        <v>1111</v>
      </c>
      <c r="D36" s="47"/>
      <c r="E36" s="47"/>
      <c r="F36" s="47"/>
      <c r="G36" s="47"/>
      <c r="H36" s="47"/>
      <c r="I36" s="47">
        <v>1111</v>
      </c>
      <c r="J36" s="9">
        <v>60</v>
      </c>
      <c r="K36" s="9" t="s">
        <v>144</v>
      </c>
      <c r="N36"/>
      <c r="O36"/>
    </row>
    <row r="37" spans="2:15" x14ac:dyDescent="0.35">
      <c r="B37" s="48" t="s">
        <v>123</v>
      </c>
      <c r="C37" s="47">
        <v>1100</v>
      </c>
      <c r="D37" s="47"/>
      <c r="E37" s="47"/>
      <c r="F37" s="47"/>
      <c r="G37" s="47"/>
      <c r="H37" s="47"/>
      <c r="I37" s="47">
        <v>1100</v>
      </c>
      <c r="J37" s="9">
        <v>40</v>
      </c>
      <c r="K37" s="9" t="s">
        <v>114</v>
      </c>
      <c r="N37"/>
      <c r="O37" s="54" t="s">
        <v>173</v>
      </c>
    </row>
    <row r="38" spans="2:15" x14ac:dyDescent="0.35">
      <c r="B38" s="48" t="s">
        <v>149</v>
      </c>
      <c r="C38" s="47">
        <v>1089</v>
      </c>
      <c r="D38" s="47"/>
      <c r="E38" s="47"/>
      <c r="F38" s="47"/>
      <c r="G38" s="47"/>
      <c r="H38" s="47"/>
      <c r="I38" s="47">
        <v>1089</v>
      </c>
      <c r="J38" s="9">
        <v>20</v>
      </c>
      <c r="K38" s="9" t="s">
        <v>144</v>
      </c>
      <c r="N38"/>
      <c r="O38" t="s">
        <v>148</v>
      </c>
    </row>
    <row r="39" spans="2:15" x14ac:dyDescent="0.35">
      <c r="B39" s="48" t="s">
        <v>135</v>
      </c>
      <c r="C39" s="47"/>
      <c r="D39" s="47">
        <v>1048</v>
      </c>
      <c r="E39" s="47"/>
      <c r="F39" s="47"/>
      <c r="G39" s="47"/>
      <c r="H39" s="47"/>
      <c r="I39" s="47">
        <v>1048</v>
      </c>
      <c r="J39" s="9">
        <v>1</v>
      </c>
      <c r="K39" s="9" t="s">
        <v>129</v>
      </c>
      <c r="L39" s="9" t="s">
        <v>65</v>
      </c>
      <c r="N39"/>
      <c r="O39" t="s">
        <v>126</v>
      </c>
    </row>
    <row r="40" spans="2:15" x14ac:dyDescent="0.35">
      <c r="B40" s="48" t="s">
        <v>195</v>
      </c>
      <c r="C40" s="47"/>
      <c r="D40" s="47">
        <v>953</v>
      </c>
      <c r="E40" s="47"/>
      <c r="F40" s="47"/>
      <c r="G40" s="47"/>
      <c r="H40" s="47"/>
      <c r="I40" s="47">
        <v>953</v>
      </c>
      <c r="J40" s="9">
        <v>1</v>
      </c>
      <c r="K40" s="9" t="s">
        <v>114</v>
      </c>
      <c r="L40" s="9" t="s">
        <v>65</v>
      </c>
      <c r="N40"/>
      <c r="O40" t="s">
        <v>137</v>
      </c>
    </row>
    <row r="41" spans="2:15" x14ac:dyDescent="0.35">
      <c r="B41" s="48" t="s">
        <v>116</v>
      </c>
      <c r="C41" s="47">
        <v>946</v>
      </c>
      <c r="D41" s="47"/>
      <c r="E41" s="47"/>
      <c r="F41" s="47"/>
      <c r="G41" s="47"/>
      <c r="H41" s="47"/>
      <c r="I41" s="47">
        <v>946</v>
      </c>
      <c r="J41" s="9">
        <v>10</v>
      </c>
      <c r="K41" s="9" t="s">
        <v>114</v>
      </c>
      <c r="N41"/>
      <c r="O41"/>
    </row>
    <row r="42" spans="2:15" x14ac:dyDescent="0.35">
      <c r="B42" s="48" t="s">
        <v>143</v>
      </c>
      <c r="C42" s="47">
        <v>936</v>
      </c>
      <c r="D42" s="47"/>
      <c r="E42" s="47"/>
      <c r="F42" s="47"/>
      <c r="G42" s="47"/>
      <c r="H42" s="47"/>
      <c r="I42" s="47">
        <v>936</v>
      </c>
      <c r="J42" s="9">
        <v>8</v>
      </c>
      <c r="K42" s="9" t="s">
        <v>144</v>
      </c>
      <c r="N42"/>
      <c r="O42" s="54" t="s">
        <v>174</v>
      </c>
    </row>
    <row r="43" spans="2:15" x14ac:dyDescent="0.35">
      <c r="B43" s="48" t="s">
        <v>118</v>
      </c>
      <c r="C43" s="47">
        <v>880</v>
      </c>
      <c r="D43" s="47"/>
      <c r="E43" s="47"/>
      <c r="F43" s="47"/>
      <c r="G43" s="47"/>
      <c r="H43" s="47"/>
      <c r="I43" s="47">
        <v>880</v>
      </c>
      <c r="J43" s="9">
        <v>6</v>
      </c>
      <c r="K43" s="9" t="s">
        <v>114</v>
      </c>
      <c r="N43"/>
      <c r="O43" t="s">
        <v>121</v>
      </c>
    </row>
    <row r="44" spans="2:15" x14ac:dyDescent="0.35">
      <c r="B44" s="48" t="s">
        <v>124</v>
      </c>
      <c r="C44" s="47">
        <v>842</v>
      </c>
      <c r="D44" s="47"/>
      <c r="E44" s="47"/>
      <c r="F44" s="47"/>
      <c r="G44" s="47"/>
      <c r="H44" s="47"/>
      <c r="I44" s="47">
        <v>842</v>
      </c>
      <c r="J44" s="9">
        <v>4</v>
      </c>
      <c r="K44" s="9" t="s">
        <v>114</v>
      </c>
      <c r="N44"/>
      <c r="O44" t="s">
        <v>142</v>
      </c>
    </row>
    <row r="45" spans="2:15" x14ac:dyDescent="0.35">
      <c r="B45" s="48" t="s">
        <v>176</v>
      </c>
      <c r="C45" s="47"/>
      <c r="D45" s="47">
        <v>825</v>
      </c>
      <c r="E45" s="47"/>
      <c r="F45" s="47"/>
      <c r="G45" s="47"/>
      <c r="H45" s="47"/>
      <c r="I45" s="47">
        <v>825</v>
      </c>
      <c r="J45" s="9">
        <v>1</v>
      </c>
      <c r="K45" s="9" t="s">
        <v>114</v>
      </c>
      <c r="L45" s="9" t="s">
        <v>65</v>
      </c>
      <c r="N45"/>
      <c r="O45" t="s">
        <v>175</v>
      </c>
    </row>
    <row r="46" spans="2:15" x14ac:dyDescent="0.35">
      <c r="B46" s="48" t="s">
        <v>155</v>
      </c>
      <c r="C46" s="47">
        <v>813</v>
      </c>
      <c r="D46" s="47"/>
      <c r="E46" s="47"/>
      <c r="F46" s="47"/>
      <c r="G46" s="47"/>
      <c r="H46" s="47"/>
      <c r="I46" s="47">
        <v>813</v>
      </c>
      <c r="J46" s="9">
        <v>1</v>
      </c>
      <c r="K46" s="9" t="s">
        <v>114</v>
      </c>
    </row>
    <row r="47" spans="2:15" x14ac:dyDescent="0.35">
      <c r="B47" s="48" t="s">
        <v>154</v>
      </c>
      <c r="C47" s="47"/>
      <c r="D47" s="47">
        <v>813</v>
      </c>
      <c r="E47" s="47"/>
      <c r="F47" s="47"/>
      <c r="G47" s="47"/>
      <c r="H47" s="47"/>
      <c r="I47" s="47">
        <v>813</v>
      </c>
      <c r="J47" s="9">
        <v>1</v>
      </c>
      <c r="K47" s="9" t="s">
        <v>129</v>
      </c>
      <c r="L47" s="9" t="s">
        <v>65</v>
      </c>
    </row>
    <row r="48" spans="2:15" x14ac:dyDescent="0.35">
      <c r="B48" s="48" t="s">
        <v>141</v>
      </c>
      <c r="C48" s="47">
        <v>812</v>
      </c>
      <c r="D48" s="47"/>
      <c r="E48" s="47"/>
      <c r="F48" s="47"/>
      <c r="G48" s="47"/>
      <c r="H48" s="47"/>
      <c r="I48" s="47">
        <v>812</v>
      </c>
      <c r="J48" s="9">
        <v>1</v>
      </c>
      <c r="K48" s="9" t="s">
        <v>114</v>
      </c>
    </row>
    <row r="49" spans="2:12" x14ac:dyDescent="0.35">
      <c r="B49" s="48" t="s">
        <v>206</v>
      </c>
      <c r="C49" s="47"/>
      <c r="D49" s="47">
        <v>803</v>
      </c>
      <c r="E49" s="47"/>
      <c r="F49" s="47"/>
      <c r="G49" s="47"/>
      <c r="H49" s="47"/>
      <c r="I49" s="47">
        <v>803</v>
      </c>
      <c r="J49" s="9">
        <v>1</v>
      </c>
      <c r="K49" s="9" t="s">
        <v>114</v>
      </c>
      <c r="L49" s="9" t="s">
        <v>65</v>
      </c>
    </row>
    <row r="50" spans="2:12" x14ac:dyDescent="0.35">
      <c r="B50" s="48" t="s">
        <v>119</v>
      </c>
      <c r="C50" s="47">
        <v>801</v>
      </c>
      <c r="D50" s="47"/>
      <c r="E50" s="47"/>
      <c r="F50" s="47"/>
      <c r="G50" s="47"/>
      <c r="H50" s="47"/>
      <c r="I50" s="47">
        <v>801</v>
      </c>
      <c r="J50" s="9">
        <v>1</v>
      </c>
      <c r="K50" s="9" t="s">
        <v>114</v>
      </c>
    </row>
    <row r="51" spans="2:12" x14ac:dyDescent="0.35">
      <c r="B51" s="48" t="s">
        <v>220</v>
      </c>
      <c r="C51" s="47"/>
      <c r="D51" s="47"/>
      <c r="E51" s="47">
        <v>781</v>
      </c>
      <c r="F51" s="47"/>
      <c r="G51" s="47"/>
      <c r="H51" s="47"/>
      <c r="I51" s="47">
        <v>781</v>
      </c>
      <c r="J51" s="9">
        <v>1</v>
      </c>
      <c r="K51" s="9" t="s">
        <v>114</v>
      </c>
      <c r="L51" s="9" t="s">
        <v>64</v>
      </c>
    </row>
    <row r="52" spans="2:12" x14ac:dyDescent="0.35">
      <c r="B52" s="48" t="s">
        <v>187</v>
      </c>
      <c r="C52" s="47"/>
      <c r="D52" s="47">
        <v>769</v>
      </c>
      <c r="E52" s="47"/>
      <c r="F52" s="47"/>
      <c r="G52" s="47"/>
      <c r="H52" s="47"/>
      <c r="I52" s="47">
        <v>769</v>
      </c>
      <c r="J52" s="9">
        <v>1</v>
      </c>
      <c r="K52" s="9" t="s">
        <v>114</v>
      </c>
      <c r="L52" s="9" t="s">
        <v>65</v>
      </c>
    </row>
    <row r="53" spans="2:12" x14ac:dyDescent="0.35">
      <c r="B53" s="48" t="s">
        <v>186</v>
      </c>
      <c r="C53" s="47"/>
      <c r="D53" s="47">
        <v>758</v>
      </c>
      <c r="E53" s="47"/>
      <c r="F53" s="47"/>
      <c r="G53" s="47"/>
      <c r="H53" s="47"/>
      <c r="I53" s="47">
        <v>758</v>
      </c>
      <c r="J53" s="9">
        <v>1</v>
      </c>
      <c r="K53" s="9" t="s">
        <v>114</v>
      </c>
      <c r="L53" s="9" t="s">
        <v>65</v>
      </c>
    </row>
    <row r="54" spans="2:12" x14ac:dyDescent="0.35">
      <c r="B54" s="48" t="s">
        <v>151</v>
      </c>
      <c r="C54" s="47">
        <v>741</v>
      </c>
      <c r="D54" s="47"/>
      <c r="E54" s="47"/>
      <c r="F54" s="47"/>
      <c r="G54" s="47"/>
      <c r="H54" s="47"/>
      <c r="I54" s="47">
        <v>741</v>
      </c>
      <c r="J54" s="9">
        <v>1</v>
      </c>
      <c r="K54" s="9" t="s">
        <v>129</v>
      </c>
    </row>
    <row r="55" spans="2:12" x14ac:dyDescent="0.35">
      <c r="B55" s="48" t="s">
        <v>136</v>
      </c>
      <c r="C55" s="47"/>
      <c r="D55" s="47">
        <v>728</v>
      </c>
      <c r="E55" s="47"/>
      <c r="F55" s="47"/>
      <c r="G55" s="47"/>
      <c r="H55" s="47"/>
      <c r="I55" s="47">
        <v>728</v>
      </c>
      <c r="J55" s="9">
        <v>1</v>
      </c>
      <c r="K55" s="9" t="s">
        <v>129</v>
      </c>
      <c r="L55" s="9" t="s">
        <v>65</v>
      </c>
    </row>
    <row r="56" spans="2:12" x14ac:dyDescent="0.35">
      <c r="B56" s="48" t="s">
        <v>117</v>
      </c>
      <c r="C56" s="47">
        <v>727</v>
      </c>
      <c r="D56" s="47"/>
      <c r="E56" s="47"/>
      <c r="F56" s="47"/>
      <c r="G56" s="47"/>
      <c r="H56" s="47"/>
      <c r="I56" s="47">
        <v>727</v>
      </c>
      <c r="J56" s="9">
        <v>1</v>
      </c>
      <c r="K56" s="9" t="s">
        <v>114</v>
      </c>
    </row>
    <row r="57" spans="2:12" x14ac:dyDescent="0.35">
      <c r="B57" s="48" t="s">
        <v>120</v>
      </c>
      <c r="C57" s="47">
        <v>671</v>
      </c>
      <c r="D57" s="47"/>
      <c r="E57" s="47"/>
      <c r="F57" s="47"/>
      <c r="G57" s="47"/>
      <c r="H57" s="47"/>
      <c r="I57" s="47">
        <v>671</v>
      </c>
      <c r="J57" s="9">
        <v>1</v>
      </c>
      <c r="K57" s="9" t="s">
        <v>114</v>
      </c>
    </row>
    <row r="58" spans="2:12" x14ac:dyDescent="0.35">
      <c r="B58" s="48" t="s">
        <v>152</v>
      </c>
      <c r="C58" s="47"/>
      <c r="D58" s="47">
        <v>670</v>
      </c>
      <c r="E58" s="47"/>
      <c r="F58" s="47"/>
      <c r="G58" s="47"/>
      <c r="H58" s="47"/>
      <c r="I58" s="47">
        <v>670</v>
      </c>
      <c r="J58" s="9">
        <v>1</v>
      </c>
      <c r="K58" s="9" t="s">
        <v>114</v>
      </c>
      <c r="L58" s="9" t="s">
        <v>65</v>
      </c>
    </row>
    <row r="59" spans="2:12" x14ac:dyDescent="0.35">
      <c r="B59" s="48" t="s">
        <v>122</v>
      </c>
      <c r="C59" s="47">
        <v>660</v>
      </c>
      <c r="D59" s="47"/>
      <c r="E59" s="47"/>
      <c r="F59" s="47"/>
      <c r="G59" s="47"/>
      <c r="H59" s="47"/>
      <c r="I59" s="47">
        <v>660</v>
      </c>
      <c r="J59" s="9">
        <v>1</v>
      </c>
      <c r="K59" s="9" t="s">
        <v>114</v>
      </c>
    </row>
    <row r="60" spans="2:12" x14ac:dyDescent="0.35">
      <c r="B60" s="48" t="s">
        <v>179</v>
      </c>
      <c r="C60" s="47"/>
      <c r="D60" s="47">
        <v>524</v>
      </c>
      <c r="E60" s="47"/>
      <c r="F60" s="47"/>
      <c r="G60" s="47"/>
      <c r="H60" s="47"/>
      <c r="I60" s="47">
        <v>524</v>
      </c>
      <c r="J60" s="9">
        <v>1</v>
      </c>
      <c r="K60" s="9" t="s">
        <v>114</v>
      </c>
      <c r="L60" s="9" t="s">
        <v>65</v>
      </c>
    </row>
    <row r="61" spans="2:12" x14ac:dyDescent="0.35">
      <c r="B61" s="48" t="s">
        <v>181</v>
      </c>
      <c r="C61" s="47"/>
      <c r="D61" s="47">
        <v>495</v>
      </c>
      <c r="E61" s="47"/>
      <c r="F61" s="47"/>
      <c r="G61" s="47"/>
      <c r="H61" s="47"/>
      <c r="I61" s="47">
        <v>495</v>
      </c>
      <c r="J61" s="9">
        <v>1</v>
      </c>
      <c r="K61" s="9" t="s">
        <v>114</v>
      </c>
      <c r="L61" s="9" t="s">
        <v>65</v>
      </c>
    </row>
    <row r="62" spans="2:12" x14ac:dyDescent="0.35">
      <c r="B62" s="48" t="s">
        <v>131</v>
      </c>
      <c r="C62" s="47"/>
      <c r="D62" s="47">
        <v>484</v>
      </c>
      <c r="E62" s="47"/>
      <c r="F62" s="47"/>
      <c r="G62" s="47"/>
      <c r="H62" s="47"/>
      <c r="I62" s="47">
        <v>484</v>
      </c>
      <c r="J62" s="9">
        <v>1</v>
      </c>
      <c r="K62" s="9" t="s">
        <v>129</v>
      </c>
      <c r="L62" s="9" t="s">
        <v>65</v>
      </c>
    </row>
    <row r="63" spans="2:12" x14ac:dyDescent="0.35">
      <c r="B63" s="48" t="s">
        <v>159</v>
      </c>
      <c r="C63" s="47">
        <v>396</v>
      </c>
      <c r="D63" s="47"/>
      <c r="E63" s="47"/>
      <c r="F63" s="47"/>
      <c r="G63" s="47"/>
      <c r="H63" s="47"/>
      <c r="I63" s="47">
        <v>396</v>
      </c>
      <c r="J63" s="9">
        <v>1</v>
      </c>
      <c r="K63" s="9" t="s">
        <v>114</v>
      </c>
    </row>
    <row r="64" spans="2:12" x14ac:dyDescent="0.35">
      <c r="B64" s="48" t="s">
        <v>188</v>
      </c>
      <c r="C64" s="47"/>
      <c r="D64" s="47">
        <v>394</v>
      </c>
      <c r="E64" s="47"/>
      <c r="F64" s="47"/>
      <c r="G64" s="47"/>
      <c r="H64" s="47"/>
      <c r="I64" s="47">
        <v>394</v>
      </c>
      <c r="J64" s="9">
        <v>1</v>
      </c>
      <c r="K64" s="9" t="s">
        <v>114</v>
      </c>
      <c r="L64" s="9" t="s">
        <v>65</v>
      </c>
    </row>
    <row r="65" spans="2:12" x14ac:dyDescent="0.35">
      <c r="B65" s="48" t="s">
        <v>153</v>
      </c>
      <c r="C65" s="47"/>
      <c r="D65" s="47">
        <v>253</v>
      </c>
      <c r="E65" s="47"/>
      <c r="F65" s="47"/>
      <c r="G65" s="47"/>
      <c r="H65" s="47"/>
      <c r="I65" s="47">
        <v>253</v>
      </c>
      <c r="J65" s="9">
        <v>1</v>
      </c>
      <c r="K65" s="9" t="s">
        <v>129</v>
      </c>
      <c r="L65" s="9" t="s">
        <v>65</v>
      </c>
    </row>
    <row r="66" spans="2:12" x14ac:dyDescent="0.35">
      <c r="B66" s="48" t="s">
        <v>139</v>
      </c>
      <c r="C66" s="47">
        <v>231</v>
      </c>
      <c r="D66" s="47"/>
      <c r="E66" s="47"/>
      <c r="F66" s="47"/>
      <c r="G66" s="47"/>
      <c r="H66" s="47"/>
      <c r="I66" s="47">
        <v>231</v>
      </c>
      <c r="J66" s="9">
        <v>1</v>
      </c>
      <c r="K66" s="9" t="s">
        <v>114</v>
      </c>
    </row>
    <row r="67" spans="2:12" x14ac:dyDescent="0.35">
      <c r="B67" s="48" t="s">
        <v>115</v>
      </c>
      <c r="C67" s="47">
        <v>132</v>
      </c>
      <c r="D67" s="47"/>
      <c r="E67" s="47"/>
      <c r="F67" s="47"/>
      <c r="G67" s="47"/>
      <c r="H67" s="47"/>
      <c r="I67" s="47">
        <v>132</v>
      </c>
      <c r="J67" s="9">
        <v>1</v>
      </c>
      <c r="K67" s="9" t="s">
        <v>114</v>
      </c>
    </row>
    <row r="68" spans="2:12" x14ac:dyDescent="0.35">
      <c r="B68" s="46" t="s">
        <v>64</v>
      </c>
      <c r="C68" s="47"/>
      <c r="D68" s="47"/>
      <c r="E68" s="47">
        <v>18424</v>
      </c>
      <c r="F68" s="47"/>
      <c r="G68" s="47"/>
      <c r="H68" s="47"/>
      <c r="I68" s="47">
        <v>18424</v>
      </c>
    </row>
    <row r="69" spans="2:12" x14ac:dyDescent="0.35">
      <c r="B69" s="48" t="s">
        <v>211</v>
      </c>
      <c r="C69" s="47"/>
      <c r="D69" s="47"/>
      <c r="E69" s="47">
        <v>3003</v>
      </c>
      <c r="F69" s="47"/>
      <c r="G69" s="47"/>
      <c r="H69" s="47"/>
      <c r="I69" s="47">
        <v>3003</v>
      </c>
      <c r="J69" s="9">
        <v>100</v>
      </c>
      <c r="K69" s="9" t="s">
        <v>114</v>
      </c>
    </row>
    <row r="70" spans="2:12" x14ac:dyDescent="0.35">
      <c r="B70" s="48" t="s">
        <v>177</v>
      </c>
      <c r="C70" s="47"/>
      <c r="D70" s="47"/>
      <c r="E70" s="47">
        <v>2951</v>
      </c>
      <c r="F70" s="47"/>
      <c r="G70" s="47"/>
      <c r="H70" s="47"/>
      <c r="I70" s="47">
        <v>2951</v>
      </c>
      <c r="J70" s="9">
        <v>60</v>
      </c>
      <c r="K70" s="9" t="s">
        <v>114</v>
      </c>
    </row>
    <row r="71" spans="2:12" x14ac:dyDescent="0.35">
      <c r="B71" s="48" t="s">
        <v>212</v>
      </c>
      <c r="C71" s="47"/>
      <c r="D71" s="47"/>
      <c r="E71" s="47">
        <v>2741</v>
      </c>
      <c r="F71" s="47"/>
      <c r="G71" s="47"/>
      <c r="H71" s="47"/>
      <c r="I71" s="47">
        <v>2741</v>
      </c>
      <c r="J71" s="9">
        <v>40</v>
      </c>
      <c r="K71" s="9" t="s">
        <v>114</v>
      </c>
    </row>
    <row r="72" spans="2:12" x14ac:dyDescent="0.35">
      <c r="B72" s="48" t="s">
        <v>215</v>
      </c>
      <c r="C72" s="47"/>
      <c r="D72" s="47"/>
      <c r="E72" s="47">
        <v>2554</v>
      </c>
      <c r="F72" s="47"/>
      <c r="G72" s="47"/>
      <c r="H72" s="47"/>
      <c r="I72" s="47">
        <v>2554</v>
      </c>
      <c r="J72" s="9">
        <v>20</v>
      </c>
      <c r="K72" s="9" t="s">
        <v>114</v>
      </c>
    </row>
    <row r="73" spans="2:12" x14ac:dyDescent="0.35">
      <c r="B73" s="48" t="s">
        <v>133</v>
      </c>
      <c r="C73" s="47"/>
      <c r="D73" s="47"/>
      <c r="E73" s="47">
        <v>2503</v>
      </c>
      <c r="F73" s="47"/>
      <c r="G73" s="47"/>
      <c r="H73" s="47"/>
      <c r="I73" s="47">
        <v>2503</v>
      </c>
      <c r="J73" s="9">
        <v>80</v>
      </c>
      <c r="K73" s="9" t="s">
        <v>129</v>
      </c>
    </row>
    <row r="74" spans="2:12" x14ac:dyDescent="0.35">
      <c r="B74" s="48" t="s">
        <v>214</v>
      </c>
      <c r="C74" s="47"/>
      <c r="D74" s="47"/>
      <c r="E74" s="47">
        <v>2417</v>
      </c>
      <c r="F74" s="47"/>
      <c r="G74" s="47"/>
      <c r="H74" s="47"/>
      <c r="I74" s="47">
        <v>2417</v>
      </c>
      <c r="J74" s="9">
        <v>10</v>
      </c>
      <c r="K74" s="9" t="s">
        <v>114</v>
      </c>
    </row>
    <row r="75" spans="2:12" x14ac:dyDescent="0.35">
      <c r="B75" s="48" t="s">
        <v>201</v>
      </c>
      <c r="C75" s="47"/>
      <c r="D75" s="47"/>
      <c r="E75" s="47">
        <v>2255</v>
      </c>
      <c r="F75" s="47"/>
      <c r="G75" s="47"/>
      <c r="H75" s="47"/>
      <c r="I75" s="47">
        <v>2255</v>
      </c>
      <c r="J75" s="9">
        <v>8</v>
      </c>
      <c r="K75" s="9" t="s">
        <v>114</v>
      </c>
    </row>
    <row r="76" spans="2:12" x14ac:dyDescent="0.35">
      <c r="B76" s="46" t="s">
        <v>68</v>
      </c>
      <c r="C76" s="47"/>
      <c r="D76" s="47"/>
      <c r="E76" s="47"/>
      <c r="F76" s="47"/>
      <c r="G76" s="47"/>
      <c r="H76" s="47">
        <v>7778</v>
      </c>
      <c r="I76" s="47">
        <v>7778</v>
      </c>
    </row>
    <row r="77" spans="2:12" x14ac:dyDescent="0.35">
      <c r="B77" s="48" t="s">
        <v>202</v>
      </c>
      <c r="C77" s="47"/>
      <c r="D77" s="47"/>
      <c r="E77" s="47"/>
      <c r="F77" s="47"/>
      <c r="G77" s="47"/>
      <c r="H77" s="47">
        <v>1263</v>
      </c>
      <c r="I77" s="47">
        <v>1263</v>
      </c>
      <c r="J77" s="9">
        <v>100</v>
      </c>
      <c r="K77" s="9" t="s">
        <v>203</v>
      </c>
    </row>
    <row r="78" spans="2:12" x14ac:dyDescent="0.35">
      <c r="B78" s="48" t="s">
        <v>182</v>
      </c>
      <c r="C78" s="47"/>
      <c r="D78" s="47"/>
      <c r="E78" s="47"/>
      <c r="F78" s="47"/>
      <c r="G78" s="47"/>
      <c r="H78" s="47">
        <v>1145</v>
      </c>
      <c r="I78" s="47">
        <v>1145</v>
      </c>
      <c r="J78" s="9">
        <v>80</v>
      </c>
      <c r="K78" s="9" t="s">
        <v>183</v>
      </c>
    </row>
    <row r="79" spans="2:12" x14ac:dyDescent="0.35">
      <c r="B79" s="48" t="s">
        <v>194</v>
      </c>
      <c r="C79" s="47"/>
      <c r="D79" s="47"/>
      <c r="E79" s="47"/>
      <c r="F79" s="47"/>
      <c r="G79" s="47"/>
      <c r="H79" s="47">
        <v>1111</v>
      </c>
      <c r="I79" s="47">
        <v>1111</v>
      </c>
      <c r="J79" s="9">
        <v>60</v>
      </c>
      <c r="K79" s="9" t="s">
        <v>114</v>
      </c>
    </row>
    <row r="80" spans="2:12" x14ac:dyDescent="0.35">
      <c r="B80" s="48" t="s">
        <v>132</v>
      </c>
      <c r="C80" s="47"/>
      <c r="D80" s="47"/>
      <c r="E80" s="47"/>
      <c r="F80" s="47"/>
      <c r="G80" s="47"/>
      <c r="H80" s="47">
        <v>1081</v>
      </c>
      <c r="I80" s="47">
        <v>1081</v>
      </c>
      <c r="J80" s="9">
        <v>40</v>
      </c>
      <c r="K80" s="9" t="s">
        <v>129</v>
      </c>
    </row>
    <row r="81" spans="2:12" x14ac:dyDescent="0.35">
      <c r="B81" s="48" t="s">
        <v>199</v>
      </c>
      <c r="C81" s="47"/>
      <c r="D81" s="47"/>
      <c r="E81" s="47"/>
      <c r="F81" s="47"/>
      <c r="G81" s="47"/>
      <c r="H81" s="47">
        <v>1078</v>
      </c>
      <c r="I81" s="47">
        <v>1078</v>
      </c>
      <c r="J81" s="9">
        <v>20</v>
      </c>
      <c r="K81" s="9" t="s">
        <v>144</v>
      </c>
    </row>
    <row r="82" spans="2:12" x14ac:dyDescent="0.35">
      <c r="B82" s="48" t="s">
        <v>185</v>
      </c>
      <c r="C82" s="47"/>
      <c r="D82" s="47"/>
      <c r="E82" s="47"/>
      <c r="F82" s="47"/>
      <c r="G82" s="47"/>
      <c r="H82" s="47">
        <v>1067</v>
      </c>
      <c r="I82" s="47">
        <v>1067</v>
      </c>
      <c r="J82" s="9">
        <v>10</v>
      </c>
      <c r="K82" s="9" t="s">
        <v>114</v>
      </c>
    </row>
    <row r="83" spans="2:12" x14ac:dyDescent="0.35">
      <c r="B83" s="48" t="s">
        <v>191</v>
      </c>
      <c r="C83" s="47"/>
      <c r="D83" s="47"/>
      <c r="E83" s="47"/>
      <c r="F83" s="47"/>
      <c r="G83" s="47"/>
      <c r="H83" s="47">
        <v>1033</v>
      </c>
      <c r="I83" s="47">
        <v>1033</v>
      </c>
      <c r="J83" s="9">
        <v>8</v>
      </c>
      <c r="K83" s="9" t="s">
        <v>114</v>
      </c>
    </row>
    <row r="84" spans="2:12" x14ac:dyDescent="0.35">
      <c r="B84" s="46" t="s">
        <v>69</v>
      </c>
      <c r="C84" s="47"/>
      <c r="D84" s="47"/>
      <c r="E84" s="47"/>
      <c r="F84" s="47">
        <v>1988</v>
      </c>
      <c r="G84" s="47">
        <v>3601</v>
      </c>
      <c r="H84" s="47">
        <v>1736</v>
      </c>
      <c r="I84" s="47">
        <v>7325</v>
      </c>
    </row>
    <row r="85" spans="2:12" x14ac:dyDescent="0.35">
      <c r="B85" s="48" t="s">
        <v>148</v>
      </c>
      <c r="C85" s="47"/>
      <c r="D85" s="47"/>
      <c r="E85" s="47"/>
      <c r="F85" s="47"/>
      <c r="G85" s="47">
        <v>981</v>
      </c>
      <c r="H85" s="47"/>
      <c r="I85" s="47">
        <v>981</v>
      </c>
      <c r="J85" s="9">
        <v>100</v>
      </c>
      <c r="K85" s="9" t="s">
        <v>144</v>
      </c>
    </row>
    <row r="86" spans="2:12" x14ac:dyDescent="0.35">
      <c r="B86" s="48" t="s">
        <v>156</v>
      </c>
      <c r="C86" s="47"/>
      <c r="D86" s="47"/>
      <c r="E86" s="47"/>
      <c r="F86" s="47"/>
      <c r="G86" s="47"/>
      <c r="H86" s="47">
        <v>955</v>
      </c>
      <c r="I86" s="47">
        <v>955</v>
      </c>
      <c r="J86" s="9">
        <v>6</v>
      </c>
      <c r="K86" s="9" t="s">
        <v>129</v>
      </c>
      <c r="L86" s="9" t="s">
        <v>68</v>
      </c>
    </row>
    <row r="87" spans="2:12" x14ac:dyDescent="0.35">
      <c r="B87" s="48" t="s">
        <v>178</v>
      </c>
      <c r="C87" s="47"/>
      <c r="D87" s="47"/>
      <c r="E87" s="47"/>
      <c r="F87" s="47">
        <v>939</v>
      </c>
      <c r="G87" s="47"/>
      <c r="H87" s="47"/>
      <c r="I87" s="47">
        <v>939</v>
      </c>
      <c r="J87" s="9">
        <v>20</v>
      </c>
      <c r="K87" s="9" t="s">
        <v>114</v>
      </c>
      <c r="L87" s="9" t="s">
        <v>67</v>
      </c>
    </row>
    <row r="88" spans="2:12" x14ac:dyDescent="0.35">
      <c r="B88" s="48" t="s">
        <v>126</v>
      </c>
      <c r="C88" s="47"/>
      <c r="D88" s="47"/>
      <c r="E88" s="47"/>
      <c r="F88" s="47"/>
      <c r="G88" s="47">
        <v>924</v>
      </c>
      <c r="H88" s="47"/>
      <c r="I88" s="47">
        <v>924</v>
      </c>
      <c r="J88" s="9">
        <v>80</v>
      </c>
      <c r="K88" s="9" t="s">
        <v>127</v>
      </c>
    </row>
    <row r="89" spans="2:12" x14ac:dyDescent="0.35">
      <c r="B89" s="48" t="s">
        <v>180</v>
      </c>
      <c r="C89" s="47"/>
      <c r="D89" s="47"/>
      <c r="E89" s="47"/>
      <c r="F89" s="47"/>
      <c r="G89" s="47"/>
      <c r="H89" s="47">
        <v>781</v>
      </c>
      <c r="I89" s="47">
        <v>781</v>
      </c>
      <c r="J89" s="9">
        <v>4</v>
      </c>
      <c r="K89" s="9" t="s">
        <v>114</v>
      </c>
      <c r="L89" s="9" t="s">
        <v>68</v>
      </c>
    </row>
    <row r="90" spans="2:12" x14ac:dyDescent="0.35">
      <c r="B90" s="48" t="s">
        <v>208</v>
      </c>
      <c r="C90" s="47"/>
      <c r="D90" s="47"/>
      <c r="E90" s="47"/>
      <c r="F90" s="47">
        <v>576</v>
      </c>
      <c r="G90" s="47"/>
      <c r="H90" s="47"/>
      <c r="I90" s="47">
        <v>576</v>
      </c>
      <c r="J90" s="9">
        <v>60</v>
      </c>
      <c r="K90" s="9" t="s">
        <v>144</v>
      </c>
      <c r="L90" s="9" t="s">
        <v>67</v>
      </c>
    </row>
    <row r="91" spans="2:12" x14ac:dyDescent="0.35">
      <c r="B91" s="48" t="s">
        <v>137</v>
      </c>
      <c r="C91" s="47"/>
      <c r="D91" s="47"/>
      <c r="E91" s="47"/>
      <c r="F91" s="47"/>
      <c r="G91" s="47">
        <v>560</v>
      </c>
      <c r="H91" s="47"/>
      <c r="I91" s="47">
        <v>560</v>
      </c>
      <c r="J91" s="9">
        <v>60</v>
      </c>
      <c r="K91" s="9" t="s">
        <v>114</v>
      </c>
    </row>
    <row r="92" spans="2:12" x14ac:dyDescent="0.35">
      <c r="B92" s="48" t="s">
        <v>134</v>
      </c>
      <c r="C92" s="47"/>
      <c r="D92" s="47"/>
      <c r="E92" s="47"/>
      <c r="F92" s="47"/>
      <c r="G92" s="47">
        <v>533</v>
      </c>
      <c r="H92" s="47"/>
      <c r="I92" s="47">
        <v>533</v>
      </c>
      <c r="J92" s="9">
        <v>40</v>
      </c>
      <c r="K92" s="9" t="s">
        <v>129</v>
      </c>
    </row>
    <row r="93" spans="2:12" x14ac:dyDescent="0.35">
      <c r="B93" s="48" t="s">
        <v>223</v>
      </c>
      <c r="C93" s="47"/>
      <c r="D93" s="47"/>
      <c r="E93" s="47"/>
      <c r="F93" s="47">
        <v>473</v>
      </c>
      <c r="G93" s="47"/>
      <c r="H93" s="47"/>
      <c r="I93" s="47">
        <v>473</v>
      </c>
      <c r="J93" s="9">
        <v>20</v>
      </c>
      <c r="K93" s="9" t="s">
        <v>114</v>
      </c>
      <c r="L93" s="9" t="s">
        <v>67</v>
      </c>
    </row>
    <row r="94" spans="2:12" x14ac:dyDescent="0.35">
      <c r="B94" s="48" t="s">
        <v>146</v>
      </c>
      <c r="C94" s="47"/>
      <c r="D94" s="47"/>
      <c r="E94" s="47"/>
      <c r="F94" s="47"/>
      <c r="G94" s="47">
        <v>274</v>
      </c>
      <c r="H94" s="47"/>
      <c r="I94" s="47">
        <v>274</v>
      </c>
      <c r="J94" s="9">
        <v>20</v>
      </c>
      <c r="K94" s="9" t="s">
        <v>144</v>
      </c>
    </row>
    <row r="95" spans="2:12" x14ac:dyDescent="0.35">
      <c r="B95" s="48" t="s">
        <v>145</v>
      </c>
      <c r="C95" s="47"/>
      <c r="D95" s="47"/>
      <c r="E95" s="47"/>
      <c r="F95" s="47"/>
      <c r="G95" s="47">
        <v>274</v>
      </c>
      <c r="H95" s="47"/>
      <c r="I95" s="47">
        <v>274</v>
      </c>
      <c r="J95" s="9">
        <v>10</v>
      </c>
      <c r="K95" s="9" t="s">
        <v>144</v>
      </c>
    </row>
    <row r="96" spans="2:12" x14ac:dyDescent="0.35">
      <c r="B96" s="48" t="s">
        <v>125</v>
      </c>
      <c r="C96" s="47"/>
      <c r="D96" s="47"/>
      <c r="E96" s="47"/>
      <c r="F96" s="47"/>
      <c r="G96" s="47">
        <v>55</v>
      </c>
      <c r="H96" s="47"/>
      <c r="I96" s="47">
        <v>55</v>
      </c>
      <c r="J96" s="9">
        <v>8</v>
      </c>
      <c r="K96" s="9" t="s">
        <v>114</v>
      </c>
    </row>
    <row r="97" spans="2:11" x14ac:dyDescent="0.35">
      <c r="B97" s="46" t="s">
        <v>67</v>
      </c>
      <c r="C97" s="47"/>
      <c r="D97" s="47"/>
      <c r="E97" s="47"/>
      <c r="F97" s="47">
        <v>5739</v>
      </c>
      <c r="G97" s="47"/>
      <c r="H97" s="47"/>
      <c r="I97" s="47">
        <v>5739</v>
      </c>
    </row>
    <row r="98" spans="2:11" x14ac:dyDescent="0.35">
      <c r="B98" s="48" t="s">
        <v>210</v>
      </c>
      <c r="C98" s="47"/>
      <c r="D98" s="47"/>
      <c r="E98" s="47"/>
      <c r="F98" s="47">
        <v>2309</v>
      </c>
      <c r="G98" s="47"/>
      <c r="H98" s="47"/>
      <c r="I98" s="47">
        <v>2309</v>
      </c>
      <c r="J98" s="9">
        <v>100</v>
      </c>
      <c r="K98" s="9" t="s">
        <v>144</v>
      </c>
    </row>
    <row r="99" spans="2:11" x14ac:dyDescent="0.35">
      <c r="B99" s="48" t="s">
        <v>222</v>
      </c>
      <c r="C99" s="47"/>
      <c r="D99" s="47"/>
      <c r="E99" s="47"/>
      <c r="F99" s="47">
        <v>1922</v>
      </c>
      <c r="G99" s="47"/>
      <c r="H99" s="47"/>
      <c r="I99" s="47">
        <v>1922</v>
      </c>
      <c r="J99" s="9">
        <v>80</v>
      </c>
      <c r="K99" s="9" t="s">
        <v>114</v>
      </c>
    </row>
    <row r="100" spans="2:11" x14ac:dyDescent="0.35">
      <c r="B100" s="48" t="s">
        <v>209</v>
      </c>
      <c r="C100" s="47"/>
      <c r="D100" s="47"/>
      <c r="E100" s="47"/>
      <c r="F100" s="47">
        <v>1508</v>
      </c>
      <c r="G100" s="47"/>
      <c r="H100" s="47"/>
      <c r="I100" s="47">
        <v>1508</v>
      </c>
      <c r="J100" s="9">
        <v>40</v>
      </c>
      <c r="K100" s="9" t="s">
        <v>114</v>
      </c>
    </row>
    <row r="101" spans="2:11" x14ac:dyDescent="0.35">
      <c r="B101"/>
      <c r="C101"/>
      <c r="D101"/>
      <c r="E101"/>
      <c r="F101"/>
      <c r="G101"/>
      <c r="H101"/>
      <c r="I101"/>
    </row>
    <row r="102" spans="2:11" x14ac:dyDescent="0.35">
      <c r="B102"/>
      <c r="C102"/>
      <c r="D102"/>
      <c r="E102"/>
      <c r="F102"/>
      <c r="G102"/>
      <c r="H102"/>
      <c r="I102"/>
    </row>
    <row r="103" spans="2:11" x14ac:dyDescent="0.35">
      <c r="B103"/>
      <c r="C103"/>
      <c r="D103"/>
      <c r="E103"/>
      <c r="F103"/>
      <c r="G103"/>
      <c r="H103"/>
      <c r="I103"/>
    </row>
    <row r="104" spans="2:11" x14ac:dyDescent="0.35">
      <c r="B104"/>
      <c r="C104"/>
      <c r="D104"/>
      <c r="E104"/>
      <c r="F104"/>
      <c r="G104"/>
      <c r="H104"/>
      <c r="I104"/>
    </row>
    <row r="105" spans="2:11" x14ac:dyDescent="0.35">
      <c r="B105"/>
      <c r="C105"/>
      <c r="D105"/>
      <c r="E105"/>
      <c r="F105"/>
      <c r="G105"/>
      <c r="H105"/>
      <c r="I105"/>
    </row>
    <row r="106" spans="2:11" x14ac:dyDescent="0.35">
      <c r="B106"/>
      <c r="C106"/>
      <c r="D106"/>
      <c r="E106"/>
      <c r="F106"/>
      <c r="G106"/>
      <c r="H106"/>
      <c r="I106"/>
    </row>
    <row r="107" spans="2:11" x14ac:dyDescent="0.35">
      <c r="B107"/>
      <c r="C107"/>
      <c r="D107"/>
      <c r="E107"/>
      <c r="F107"/>
      <c r="G107"/>
      <c r="H107"/>
      <c r="I107"/>
    </row>
    <row r="108" spans="2:11" x14ac:dyDescent="0.35">
      <c r="B108"/>
      <c r="C108"/>
      <c r="D108"/>
      <c r="E108"/>
      <c r="F108"/>
      <c r="G108"/>
      <c r="H108"/>
      <c r="I108"/>
    </row>
    <row r="109" spans="2:11" x14ac:dyDescent="0.35">
      <c r="B109"/>
      <c r="C109"/>
      <c r="D109"/>
      <c r="E109"/>
      <c r="F109"/>
      <c r="G109"/>
      <c r="H109"/>
      <c r="I109"/>
    </row>
    <row r="110" spans="2:11" x14ac:dyDescent="0.35">
      <c r="B110"/>
      <c r="C110"/>
      <c r="D110"/>
      <c r="E110"/>
      <c r="F110"/>
      <c r="G110"/>
      <c r="H110"/>
      <c r="I110"/>
    </row>
  </sheetData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100</vt:i4>
      </vt:variant>
    </vt:vector>
  </HeadingPairs>
  <TitlesOfParts>
    <vt:vector size="103" baseType="lpstr">
      <vt:lpstr>Climber Records</vt:lpstr>
      <vt:lpstr>Problem Values</vt:lpstr>
      <vt:lpstr>Comp Results</vt:lpstr>
      <vt:lpstr>DU</vt:lpstr>
      <vt:lpstr>F</vt:lpstr>
      <vt:lpstr>M</vt:lpstr>
      <vt:lpstr>MA</vt:lpstr>
      <vt:lpstr>MAP</vt:lpstr>
      <vt:lpstr>MB</vt:lpstr>
      <vt:lpstr>MBP</vt:lpstr>
      <vt:lpstr>MI</vt:lpstr>
      <vt:lpstr>MIP</vt:lpstr>
      <vt:lpstr>PU</vt:lpstr>
      <vt:lpstr>TU</vt:lpstr>
      <vt:lpstr>UDEL</vt:lpstr>
      <vt:lpstr>UPENN</vt:lpstr>
      <vt:lpstr>VU</vt:lpstr>
      <vt:lpstr>W</vt:lpstr>
      <vt:lpstr>WA</vt:lpstr>
      <vt:lpstr>WAP</vt:lpstr>
      <vt:lpstr>WB</vt:lpstr>
      <vt:lpstr>WBP</vt:lpstr>
      <vt:lpstr>WCU</vt:lpstr>
      <vt:lpstr>WI</vt:lpstr>
      <vt:lpstr>WIP</vt:lpstr>
      <vt:lpstr>ZA</vt:lpstr>
      <vt:lpstr>ZAA</vt:lpstr>
      <vt:lpstr>ZAAA</vt:lpstr>
      <vt:lpstr>ZB</vt:lpstr>
      <vt:lpstr>ZBB</vt:lpstr>
      <vt:lpstr>ZBBB</vt:lpstr>
      <vt:lpstr>ZC</vt:lpstr>
      <vt:lpstr>ZCC</vt:lpstr>
      <vt:lpstr>ZCCC</vt:lpstr>
      <vt:lpstr>ZD</vt:lpstr>
      <vt:lpstr>ZDD</vt:lpstr>
      <vt:lpstr>ZDDD</vt:lpstr>
      <vt:lpstr>ZE</vt:lpstr>
      <vt:lpstr>ZEE</vt:lpstr>
      <vt:lpstr>ZEEE</vt:lpstr>
      <vt:lpstr>ZF</vt:lpstr>
      <vt:lpstr>ZFF</vt:lpstr>
      <vt:lpstr>ZFFF</vt:lpstr>
      <vt:lpstr>ZG</vt:lpstr>
      <vt:lpstr>ZGG</vt:lpstr>
      <vt:lpstr>ZGGG</vt:lpstr>
      <vt:lpstr>ZH</vt:lpstr>
      <vt:lpstr>ZHH</vt:lpstr>
      <vt:lpstr>ZHHH</vt:lpstr>
      <vt:lpstr>ZI</vt:lpstr>
      <vt:lpstr>ZII</vt:lpstr>
      <vt:lpstr>ZIII</vt:lpstr>
      <vt:lpstr>ZJ</vt:lpstr>
      <vt:lpstr>ZJJ</vt:lpstr>
      <vt:lpstr>ZJJJ</vt:lpstr>
      <vt:lpstr>ZK</vt:lpstr>
      <vt:lpstr>ZKK</vt:lpstr>
      <vt:lpstr>ZKKK</vt:lpstr>
      <vt:lpstr>ZL</vt:lpstr>
      <vt:lpstr>ZLL</vt:lpstr>
      <vt:lpstr>ZLLL</vt:lpstr>
      <vt:lpstr>ZM</vt:lpstr>
      <vt:lpstr>ZMM</vt:lpstr>
      <vt:lpstr>ZMMM</vt:lpstr>
      <vt:lpstr>ZN</vt:lpstr>
      <vt:lpstr>ZNN</vt:lpstr>
      <vt:lpstr>ZNNN</vt:lpstr>
      <vt:lpstr>ZO</vt:lpstr>
      <vt:lpstr>ZOO</vt:lpstr>
      <vt:lpstr>ZOOO</vt:lpstr>
      <vt:lpstr>ZP</vt:lpstr>
      <vt:lpstr>ZPP</vt:lpstr>
      <vt:lpstr>ZPPP</vt:lpstr>
      <vt:lpstr>ZQ</vt:lpstr>
      <vt:lpstr>ZQQ</vt:lpstr>
      <vt:lpstr>ZQQQ</vt:lpstr>
      <vt:lpstr>ZR</vt:lpstr>
      <vt:lpstr>ZRR</vt:lpstr>
      <vt:lpstr>ZRRR</vt:lpstr>
      <vt:lpstr>ZS</vt:lpstr>
      <vt:lpstr>ZSS</vt:lpstr>
      <vt:lpstr>ZSSS</vt:lpstr>
      <vt:lpstr>ZT</vt:lpstr>
      <vt:lpstr>ZTT</vt:lpstr>
      <vt:lpstr>ZTTT</vt:lpstr>
      <vt:lpstr>ZU</vt:lpstr>
      <vt:lpstr>ZUU</vt:lpstr>
      <vt:lpstr>ZUUU</vt:lpstr>
      <vt:lpstr>ZV</vt:lpstr>
      <vt:lpstr>ZVV</vt:lpstr>
      <vt:lpstr>ZVVV</vt:lpstr>
      <vt:lpstr>ZW</vt:lpstr>
      <vt:lpstr>ZWW</vt:lpstr>
      <vt:lpstr>ZWWW</vt:lpstr>
      <vt:lpstr>ZX</vt:lpstr>
      <vt:lpstr>ZXX</vt:lpstr>
      <vt:lpstr>ZXXX</vt:lpstr>
      <vt:lpstr>ZY</vt:lpstr>
      <vt:lpstr>ZYY</vt:lpstr>
      <vt:lpstr>ZYYY</vt:lpstr>
      <vt:lpstr>ZZ</vt:lpstr>
      <vt:lpstr>ZZZ</vt:lpstr>
      <vt:lpstr>ZZZZ</vt:lpstr>
    </vt:vector>
  </TitlesOfParts>
  <Company>Drexel  University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Tyler Devilbiss</dc:creator>
  <cp:lastModifiedBy>Tyler</cp:lastModifiedBy>
  <dcterms:created xsi:type="dcterms:W3CDTF">2013-11-08T01:14:19Z</dcterms:created>
  <dcterms:modified xsi:type="dcterms:W3CDTF">2015-02-28T13:15:24Z</dcterms:modified>
</cp:coreProperties>
</file>